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PC7\Escritorio\COMPANIAS DE CONTROL\"/>
    </mc:Choice>
  </mc:AlternateContent>
  <xr:revisionPtr revIDLastSave="0" documentId="13_ncr:1_{6C2CE71D-FEBB-4D6A-ADEF-EE06F85AB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4" i="1" l="1"/>
  <c r="AL15" i="1"/>
  <c r="AL19" i="1"/>
  <c r="AL20" i="1"/>
  <c r="AL21" i="1"/>
  <c r="AK14" i="1"/>
  <c r="AK15" i="1"/>
  <c r="AK19" i="1"/>
  <c r="AK20" i="1"/>
  <c r="AK21" i="1"/>
  <c r="AJ14" i="1"/>
  <c r="AJ15" i="1"/>
  <c r="AJ19" i="1"/>
  <c r="AJ20" i="1"/>
  <c r="AJ21" i="1"/>
  <c r="AI14" i="1"/>
  <c r="AI15" i="1"/>
  <c r="AI16" i="1"/>
  <c r="AI19" i="1"/>
  <c r="AI20" i="1"/>
  <c r="AI21" i="1"/>
  <c r="AL13" i="1"/>
  <c r="AK13" i="1"/>
  <c r="AJ13" i="1"/>
  <c r="AI13" i="1"/>
  <c r="AY6" i="1"/>
  <c r="AY7" i="1"/>
  <c r="AY8" i="1"/>
  <c r="AY5" i="1"/>
  <c r="AX6" i="1"/>
  <c r="AX7" i="1"/>
  <c r="AX8" i="1"/>
  <c r="AX5" i="1"/>
  <c r="AW6" i="1"/>
  <c r="AW7" i="1"/>
  <c r="AW8" i="1"/>
  <c r="AW5" i="1"/>
  <c r="AV6" i="1"/>
  <c r="AV7" i="1"/>
  <c r="AV8" i="1"/>
  <c r="AV9" i="1"/>
  <c r="AV5" i="1"/>
  <c r="AG14" i="1" l="1"/>
  <c r="AG15" i="1"/>
  <c r="AG16" i="1"/>
  <c r="AF14" i="1"/>
  <c r="AF15" i="1"/>
  <c r="AF16" i="1"/>
  <c r="AG13" i="1"/>
  <c r="AE13" i="1"/>
  <c r="AF13" i="1"/>
  <c r="AR9" i="1"/>
  <c r="AQ9" i="1"/>
  <c r="AD14" i="1" l="1"/>
  <c r="AD15" i="1"/>
  <c r="AD16" i="1"/>
  <c r="AC14" i="1"/>
  <c r="AC15" i="1"/>
  <c r="AC16" i="1"/>
  <c r="AD13" i="1"/>
  <c r="AC13" i="1"/>
  <c r="AT9" i="1"/>
  <c r="AS9" i="1"/>
  <c r="AP9" i="1"/>
  <c r="AO9" i="1"/>
  <c r="AN9" i="1"/>
  <c r="AM9" i="1"/>
  <c r="AB14" i="1" l="1"/>
  <c r="AB15" i="1"/>
  <c r="AB16" i="1"/>
  <c r="AB13" i="1"/>
  <c r="AA14" i="1"/>
  <c r="AE14" i="1" s="1"/>
  <c r="AA15" i="1"/>
  <c r="AE15" i="1" s="1"/>
  <c r="AA16" i="1"/>
  <c r="AE16" i="1" s="1"/>
  <c r="AA13" i="1"/>
  <c r="P17" i="1" l="1"/>
  <c r="Z17" i="1" l="1"/>
  <c r="Y17" i="1"/>
  <c r="X17" i="1"/>
  <c r="W17" i="1"/>
  <c r="V17" i="1"/>
  <c r="U17" i="1"/>
  <c r="S17" i="1"/>
  <c r="T17" i="1"/>
  <c r="L17" i="1"/>
  <c r="K17" i="1"/>
  <c r="J17" i="1"/>
  <c r="I17" i="1"/>
  <c r="H17" i="1"/>
  <c r="AF17" i="1" l="1"/>
  <c r="AH17" i="1"/>
  <c r="AG17" i="1"/>
  <c r="AC17" i="1"/>
  <c r="AD17" i="1"/>
  <c r="AA17" i="1"/>
  <c r="AE17" i="1" s="1"/>
  <c r="AB17" i="1"/>
  <c r="AL17" i="1" l="1"/>
  <c r="AK17" i="1"/>
  <c r="AJ17" i="1"/>
  <c r="AI17" i="1"/>
  <c r="B8" i="1"/>
  <c r="F5" i="1" l="1"/>
  <c r="R5" i="1" s="1"/>
  <c r="F6" i="1"/>
  <c r="R6" i="1" s="1"/>
  <c r="F7" i="1"/>
  <c r="R7" i="1" s="1"/>
  <c r="AL5" i="1" l="1"/>
  <c r="AI5" i="1"/>
  <c r="AK5" i="1"/>
  <c r="AF5" i="1"/>
  <c r="AL6" i="1"/>
  <c r="AI6" i="1"/>
  <c r="AK6" i="1"/>
  <c r="AF6" i="1"/>
  <c r="AL7" i="1"/>
  <c r="AI7" i="1"/>
  <c r="AK7" i="1"/>
  <c r="AF7" i="1"/>
  <c r="AD5" i="1"/>
  <c r="AA5" i="1"/>
  <c r="AB5" i="1"/>
  <c r="Y5" i="1"/>
  <c r="AD7" i="1"/>
  <c r="AA7" i="1"/>
  <c r="AB7" i="1"/>
  <c r="Y7" i="1"/>
  <c r="AD6" i="1"/>
  <c r="AB6" i="1"/>
  <c r="AA6" i="1"/>
  <c r="Y6" i="1"/>
  <c r="T6" i="1"/>
  <c r="V6" i="1"/>
  <c r="V7" i="1"/>
  <c r="T7" i="1"/>
  <c r="V5" i="1"/>
  <c r="T5" i="1"/>
  <c r="Q6" i="1"/>
  <c r="P6" i="1"/>
  <c r="M6" i="1"/>
  <c r="O6" i="1"/>
  <c r="L6" i="1"/>
  <c r="G6" i="1"/>
  <c r="Q7" i="1"/>
  <c r="P7" i="1"/>
  <c r="M7" i="1"/>
  <c r="O7" i="1"/>
  <c r="L7" i="1"/>
  <c r="G7" i="1"/>
  <c r="H5" i="1"/>
  <c r="H8" i="1" s="1"/>
  <c r="F8" i="1"/>
  <c r="Q5" i="1"/>
  <c r="P5" i="1"/>
  <c r="P8" i="1" s="1"/>
  <c r="O5" i="1"/>
  <c r="O8" i="1" s="1"/>
  <c r="L5" i="1"/>
  <c r="L8" i="1" s="1"/>
  <c r="M5" i="1"/>
  <c r="M8" i="1" s="1"/>
  <c r="K7" i="1"/>
  <c r="H7" i="1"/>
  <c r="H6" i="1"/>
  <c r="K6" i="1"/>
  <c r="K5" i="1"/>
  <c r="K8" i="1" s="1"/>
  <c r="G5" i="1"/>
  <c r="G8" i="1" s="1"/>
  <c r="AQ7" i="1" l="1"/>
  <c r="AT7" i="1"/>
  <c r="AS7" i="1"/>
  <c r="AR7" i="1"/>
  <c r="AQ6" i="1"/>
  <c r="AT6" i="1"/>
  <c r="AS6" i="1"/>
  <c r="AR6" i="1"/>
  <c r="AQ5" i="1"/>
  <c r="AR5" i="1"/>
  <c r="AT5" i="1"/>
  <c r="AS5" i="1"/>
  <c r="AP7" i="1"/>
  <c r="AP6" i="1"/>
  <c r="AO5" i="1"/>
  <c r="AP5" i="1"/>
  <c r="AN5" i="1"/>
  <c r="AM5" i="1"/>
  <c r="AO7" i="1"/>
  <c r="AN7" i="1"/>
  <c r="AM7" i="1"/>
  <c r="AO6" i="1"/>
  <c r="AM6" i="1"/>
  <c r="AN6" i="1"/>
  <c r="Q8" i="1"/>
  <c r="R8" i="1"/>
  <c r="G14" i="1"/>
  <c r="P14" i="1" s="1"/>
  <c r="G15" i="1"/>
  <c r="P15" i="1" s="1"/>
  <c r="G16" i="1"/>
  <c r="P16" i="1" s="1"/>
  <c r="G13" i="1"/>
  <c r="P13" i="1" s="1"/>
  <c r="Y13" i="1" l="1"/>
  <c r="X13" i="1"/>
  <c r="W13" i="1"/>
  <c r="Y16" i="1"/>
  <c r="X16" i="1"/>
  <c r="W16" i="1"/>
  <c r="X14" i="1"/>
  <c r="Y14" i="1"/>
  <c r="W14" i="1"/>
  <c r="X15" i="1"/>
  <c r="Y15" i="1"/>
  <c r="W15" i="1"/>
  <c r="AL8" i="1"/>
  <c r="AI8" i="1"/>
  <c r="AK8" i="1"/>
  <c r="AF8" i="1"/>
  <c r="T8" i="1"/>
  <c r="V8" i="1"/>
  <c r="S15" i="1"/>
  <c r="T15" i="1"/>
  <c r="AD8" i="1"/>
  <c r="AA8" i="1"/>
  <c r="AB8" i="1"/>
  <c r="Y8" i="1"/>
  <c r="T16" i="1"/>
  <c r="S16" i="1"/>
  <c r="S13" i="1"/>
  <c r="T13" i="1"/>
  <c r="T14" i="1"/>
  <c r="S14" i="1"/>
  <c r="R15" i="1"/>
  <c r="Q15" i="1"/>
  <c r="I15" i="1"/>
  <c r="J15" i="1"/>
  <c r="R14" i="1"/>
  <c r="Q14" i="1"/>
  <c r="R13" i="1"/>
  <c r="Q13" i="1"/>
  <c r="Q16" i="1"/>
  <c r="R16" i="1"/>
  <c r="H15" i="1"/>
  <c r="O15" i="1" s="1"/>
  <c r="N13" i="1"/>
  <c r="L13" i="1"/>
  <c r="K13" i="1"/>
  <c r="M13" i="1"/>
  <c r="L16" i="1"/>
  <c r="N16" i="1"/>
  <c r="M16" i="1"/>
  <c r="K16" i="1"/>
  <c r="H16" i="1"/>
  <c r="O16" i="1" s="1"/>
  <c r="I16" i="1"/>
  <c r="J16" i="1"/>
  <c r="H14" i="1"/>
  <c r="O14" i="1" s="1"/>
  <c r="N14" i="1"/>
  <c r="M14" i="1"/>
  <c r="K14" i="1"/>
  <c r="L14" i="1"/>
  <c r="H13" i="1"/>
  <c r="O13" i="1" s="1"/>
  <c r="I13" i="1"/>
  <c r="J13" i="1"/>
  <c r="M15" i="1"/>
  <c r="L15" i="1"/>
  <c r="N15" i="1"/>
  <c r="K15" i="1"/>
  <c r="I14" i="1"/>
  <c r="J14" i="1"/>
  <c r="AQ8" i="1" l="1"/>
  <c r="AS8" i="1"/>
  <c r="AT8" i="1"/>
  <c r="AR8" i="1"/>
  <c r="AP8" i="1"/>
  <c r="AO8" i="1"/>
  <c r="AM8" i="1"/>
  <c r="AN8" i="1"/>
  <c r="D5" i="1"/>
  <c r="D8" i="1" s="1"/>
  <c r="C5" i="1"/>
  <c r="C8" i="1" s="1"/>
  <c r="F14" i="1"/>
  <c r="F15" i="1"/>
  <c r="F16" i="1"/>
  <c r="E14" i="1"/>
  <c r="E15" i="1"/>
  <c r="E16" i="1"/>
  <c r="D16" i="1"/>
  <c r="D14" i="1"/>
  <c r="D15" i="1"/>
  <c r="E6" i="1"/>
  <c r="E7" i="1"/>
  <c r="E5" i="1"/>
  <c r="E8" i="1" s="1"/>
  <c r="D6" i="1"/>
  <c r="D7" i="1"/>
  <c r="C6" i="1"/>
  <c r="C7" i="1"/>
</calcChain>
</file>

<file path=xl/sharedStrings.xml><?xml version="1.0" encoding="utf-8"?>
<sst xmlns="http://schemas.openxmlformats.org/spreadsheetml/2006/main" count="124" uniqueCount="103">
  <si>
    <t>Categoria</t>
  </si>
  <si>
    <t>Auditor Junior</t>
  </si>
  <si>
    <t>Auditor semi Senior</t>
  </si>
  <si>
    <t>Auditor Senior</t>
  </si>
  <si>
    <t>Básicos 01/6/2021</t>
  </si>
  <si>
    <t>Básicos  (15%) 01/11/2021</t>
  </si>
  <si>
    <t>Horario</t>
  </si>
  <si>
    <t>Adicional Guardia Activa Nocturnidad: lunes a Viernes</t>
  </si>
  <si>
    <t>Adicional Guardia Activa:Sábados Domingos y Feriados Nacionales</t>
  </si>
  <si>
    <t>Adicional Embarcado</t>
  </si>
  <si>
    <t>Subsidio Medicamentos (Nota2)</t>
  </si>
  <si>
    <t>de 00:00 a 06:00 y/o de 18:00 a 24:00</t>
  </si>
  <si>
    <t>de 00:00 a 06:00, de 06:00 a 12:00, de 12:00 a 18:00 y de 18:00 a 24:00</t>
  </si>
  <si>
    <t>por día embarcado</t>
  </si>
  <si>
    <t>Mensual</t>
  </si>
  <si>
    <t>Básicos  (10%) 01/12/2021</t>
  </si>
  <si>
    <t>Básicos 01/06/2021</t>
  </si>
  <si>
    <t>Básicos (10%) 01/01/2022</t>
  </si>
  <si>
    <t>Paritaria 2021/2022 57,82% total</t>
  </si>
  <si>
    <t>Básicos (22,82) 01/04/2022</t>
  </si>
  <si>
    <t>Adicionales y Subsidios 2021/2022</t>
  </si>
  <si>
    <t>Básicos (22,82%) 01/04/2022</t>
  </si>
  <si>
    <t>Básicos (10%) 01/05/2022</t>
  </si>
  <si>
    <t>Básicos (10%) 01/07/2022 (20%A)</t>
  </si>
  <si>
    <t>Básicos  (10%) 01/09/2022 (30%A)</t>
  </si>
  <si>
    <t>PARITARIAS 2022/2023</t>
  </si>
  <si>
    <t>Art 41BIS agosto 2022</t>
  </si>
  <si>
    <t>Adicionales y Subsidios 2022/2023</t>
  </si>
  <si>
    <t xml:space="preserve">En esta planilla el salario del mes de abril 2022 se encuentra actualizado con el 22,82%, que en realidad fue cobrado como suma no remunerativa en el mes de mayo2022. </t>
  </si>
  <si>
    <t>Utilizamos abril, como base de cálculo para la paritaria 2022. Por ese motivo es que ya figura actualizado, aunque en la realidad se pagó de otra manera.</t>
  </si>
  <si>
    <t>De la misma manera el mes de mayo 2022 (ya con un 22,82% de incremento) se verá actualizado con un 10% más que en el recibo de sueldo. Ya que en el recibo de sueldo ese 10% viene como suma no remunerativa y se verá reflejado en los básicos, recién en el salario del mes de Julio 2022.</t>
  </si>
  <si>
    <t xml:space="preserve"> </t>
  </si>
  <si>
    <t xml:space="preserve">COMPANIA DE CONTROL </t>
  </si>
  <si>
    <t>º</t>
  </si>
  <si>
    <t>Básicos  (15%) 01/11/2022 (45%A)</t>
  </si>
  <si>
    <t>Básicos  (15%) 01/12/2022 (60%A)</t>
  </si>
  <si>
    <t>Básicos  (10%) 01/02/2022 (70%A)</t>
  </si>
  <si>
    <t>Art 41 BISEnero 2023</t>
  </si>
  <si>
    <t>19% no rem</t>
  </si>
  <si>
    <t>Básicos  (10%) 01/02/2023 (70%A)</t>
  </si>
  <si>
    <t>JORNALERO</t>
  </si>
  <si>
    <t>Básicos  (10%) 01/04/2023(80%A)</t>
  </si>
  <si>
    <t>15/06/2023 Ajuste 41BIS (2022)</t>
  </si>
  <si>
    <t>15/06/2023 primer cuota 41bis 2023</t>
  </si>
  <si>
    <t>julio 2023 segunda cuota 41 bis</t>
  </si>
  <si>
    <t>01/06/2023 11%</t>
  </si>
  <si>
    <t>01/07/2023 14%(25A)</t>
  </si>
  <si>
    <t>COMPANIA DE CONTROL</t>
  </si>
  <si>
    <t>PARITARIAS 2023/2024</t>
  </si>
  <si>
    <t>Adicionales y Subsidios 2023/2024</t>
  </si>
  <si>
    <t>junio 11%</t>
  </si>
  <si>
    <t>Julio 14% (25%A)</t>
  </si>
  <si>
    <t>Bàsicos 108,8% 01/05/2023</t>
  </si>
  <si>
    <t>AYUDA ESCOLAR</t>
  </si>
  <si>
    <t>Basicos 108,8% 01/05/2023</t>
  </si>
  <si>
    <t>Básicos  (10%) 01/03/2022 (80%A)</t>
  </si>
  <si>
    <t>Agosto revision 41 bis</t>
  </si>
  <si>
    <t>Septiembre revision 41 bis</t>
  </si>
  <si>
    <t>Septiembre 15% (40%A)</t>
  </si>
  <si>
    <t>Octubre 12,5% (52,5%A)</t>
  </si>
  <si>
    <t>Noviembre 17,5%(70%A)</t>
  </si>
  <si>
    <t>Noviembre revision 41 bis</t>
  </si>
  <si>
    <t>Diciembre 23,1% (93,1%A)</t>
  </si>
  <si>
    <t>Enero revision 41 bis</t>
  </si>
  <si>
    <t>Diciembre revision 41 bis</t>
  </si>
  <si>
    <t>Enero 15% (148,1%A)</t>
  </si>
  <si>
    <t>,</t>
  </si>
  <si>
    <t>Febrero 36,4% (184,5%A)</t>
  </si>
  <si>
    <t>Marzo 12,5% (197 %A)</t>
  </si>
  <si>
    <t>Febrero 36,4 (184,5%A)</t>
  </si>
  <si>
    <t>Marzo 12,5% (197%A)</t>
  </si>
  <si>
    <t>Febrero         41 BIS</t>
  </si>
  <si>
    <t>COMPANIAS DE CONTROL</t>
  </si>
  <si>
    <t>PARITARIAS 2024/2025</t>
  </si>
  <si>
    <t>Mayo 8,8%</t>
  </si>
  <si>
    <t>Junio 4,57% (13,37A)</t>
  </si>
  <si>
    <t>41 BIS</t>
  </si>
  <si>
    <t>Adicionales y Subsidios 2024/2025</t>
  </si>
  <si>
    <t>Abril 15% (257,48%A)MES DE REFERENCIA</t>
  </si>
  <si>
    <t>Junio 4,57%  (13,37%A)</t>
  </si>
  <si>
    <t>Abril 60,48% (257,48%A) mes referencia</t>
  </si>
  <si>
    <t>Septiembre 15,14% (28,51%A)</t>
  </si>
  <si>
    <t>Octubre 4% (32,51%A)</t>
  </si>
  <si>
    <t>Noviembre 4,09% (36,6%A)</t>
  </si>
  <si>
    <t>Diciembre 4% (40,6%A)</t>
  </si>
  <si>
    <t>Enero 3% (43,6%A)</t>
  </si>
  <si>
    <t>Marzo 3% (46,6%A)</t>
  </si>
  <si>
    <t>MES REFERENCIA ABRIL 2025</t>
  </si>
  <si>
    <t>PARITARIAS 2025/2026</t>
  </si>
  <si>
    <t>1/4/2025       (3%)</t>
  </si>
  <si>
    <t>1/7/2025   (6%)</t>
  </si>
  <si>
    <t>1/10/2025    (9%)</t>
  </si>
  <si>
    <t>1/1/2026   (12%)</t>
  </si>
  <si>
    <t>Adicionales y Subsidios 2025/2026</t>
  </si>
  <si>
    <t>Julio (6%)</t>
  </si>
  <si>
    <t>Abril (3%)</t>
  </si>
  <si>
    <t>Octubre (9%)</t>
  </si>
  <si>
    <t>Enero (12%)</t>
  </si>
  <si>
    <t>Vianda Jr/ Jornalizado</t>
  </si>
  <si>
    <t>Vianda Semi Senior</t>
  </si>
  <si>
    <t>Vianda Senior</t>
  </si>
  <si>
    <t>Vianda por dia efectivamente trabajado</t>
  </si>
  <si>
    <t>Mes de Referencia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</si>
</sst>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_ &quot;$&quot;\ * #,##0.0_ ;_ &quot;$&quot;\ * \-#,##0.0_ ;_ &quot;$&quot;\ * &quot;-&quot;??_ ;_ @_ "/>
    <numFmt numFmtId="166" formatCode="_ &quot;$&quot;\ * #,##0.0_ ;_ &quot;$&quot;\ * \-#,##0.0_ ;_ &quot;$&quot;\ * &quot;-&quot;?_ ;_ @_ "/>
    <numFmt numFmtId="167" formatCode="_ &quot;$&quot;\ * #,##0_ ;_ &quot;$&quot;\ * \-#,##0_ ;_ &quot;$&quot;\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4" borderId="1" xfId="1" applyNumberFormat="1" applyFont="1" applyFill="1" applyBorder="1" applyAlignment="1">
      <alignment horizontal="center" vertical="center"/>
    </xf>
    <xf numFmtId="165" fontId="0" fillId="0" borderId="19" xfId="1" applyNumberFormat="1" applyFont="1" applyBorder="1" applyAlignment="1">
      <alignment horizontal="center" vertical="center"/>
    </xf>
    <xf numFmtId="164" fontId="0" fillId="0" borderId="15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165" fontId="0" fillId="0" borderId="14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5" fontId="0" fillId="4" borderId="15" xfId="1" applyNumberFormat="1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165" fontId="0" fillId="4" borderId="38" xfId="1" applyNumberFormat="1" applyFont="1" applyFill="1" applyBorder="1" applyAlignment="1">
      <alignment horizontal="center" vertical="center"/>
    </xf>
    <xf numFmtId="165" fontId="0" fillId="4" borderId="35" xfId="1" applyNumberFormat="1" applyFont="1" applyFill="1" applyBorder="1" applyAlignment="1">
      <alignment horizontal="center" vertical="center"/>
    </xf>
    <xf numFmtId="165" fontId="0" fillId="0" borderId="36" xfId="1" applyNumberFormat="1" applyFont="1" applyBorder="1" applyAlignment="1">
      <alignment horizontal="center" vertical="center"/>
    </xf>
    <xf numFmtId="164" fontId="0" fillId="0" borderId="3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64" fontId="0" fillId="0" borderId="40" xfId="1" applyFon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0" fillId="0" borderId="20" xfId="1" applyFont="1" applyBorder="1" applyAlignment="1">
      <alignment horizontal="center" vertical="center"/>
    </xf>
    <xf numFmtId="164" fontId="0" fillId="0" borderId="41" xfId="1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4" borderId="1" xfId="1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0" borderId="0" xfId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0" fillId="0" borderId="14" xfId="1" applyFont="1" applyBorder="1" applyAlignment="1">
      <alignment horizontal="center" vertical="center"/>
    </xf>
    <xf numFmtId="164" fontId="0" fillId="5" borderId="1" xfId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19" xfId="0" applyNumberFormat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165" fontId="0" fillId="4" borderId="45" xfId="1" applyNumberFormat="1" applyFont="1" applyFill="1" applyBorder="1" applyAlignment="1">
      <alignment horizontal="center" vertical="center"/>
    </xf>
    <xf numFmtId="165" fontId="0" fillId="4" borderId="32" xfId="1" applyNumberFormat="1" applyFont="1" applyFill="1" applyBorder="1" applyAlignment="1">
      <alignment horizontal="center" vertical="center"/>
    </xf>
    <xf numFmtId="165" fontId="0" fillId="4" borderId="33" xfId="1" applyNumberFormat="1" applyFont="1" applyFill="1" applyBorder="1" applyAlignment="1">
      <alignment horizontal="center" vertical="center"/>
    </xf>
    <xf numFmtId="165" fontId="0" fillId="4" borderId="40" xfId="1" applyNumberFormat="1" applyFont="1" applyFill="1" applyBorder="1" applyAlignment="1">
      <alignment horizontal="center" vertical="center"/>
    </xf>
    <xf numFmtId="166" fontId="13" fillId="0" borderId="35" xfId="0" applyNumberFormat="1" applyFont="1" applyBorder="1" applyAlignment="1">
      <alignment horizontal="center" vertical="center"/>
    </xf>
    <xf numFmtId="166" fontId="0" fillId="0" borderId="35" xfId="0" applyNumberFormat="1" applyBorder="1" applyAlignment="1">
      <alignment horizontal="center" vertical="center"/>
    </xf>
    <xf numFmtId="164" fontId="0" fillId="4" borderId="35" xfId="1" applyFont="1" applyFill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7" fontId="0" fillId="0" borderId="40" xfId="0" applyNumberFormat="1" applyBorder="1" applyAlignment="1">
      <alignment horizontal="center" vertical="center"/>
    </xf>
    <xf numFmtId="167" fontId="0" fillId="0" borderId="3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167" fontId="0" fillId="5" borderId="21" xfId="0" applyNumberFormat="1" applyFill="1" applyBorder="1" applyAlignment="1">
      <alignment horizontal="center" vertical="center"/>
    </xf>
    <xf numFmtId="167" fontId="0" fillId="5" borderId="22" xfId="0" applyNumberFormat="1" applyFill="1" applyBorder="1" applyAlignment="1">
      <alignment horizontal="center" vertical="center"/>
    </xf>
    <xf numFmtId="164" fontId="0" fillId="5" borderId="22" xfId="0" applyNumberFormat="1" applyFill="1" applyBorder="1" applyAlignment="1">
      <alignment horizontal="center" vertical="center"/>
    </xf>
    <xf numFmtId="166" fontId="13" fillId="5" borderId="1" xfId="0" applyNumberFormat="1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 wrapText="1"/>
    </xf>
    <xf numFmtId="164" fontId="0" fillId="6" borderId="25" xfId="1" applyFont="1" applyFill="1" applyBorder="1" applyAlignment="1">
      <alignment horizontal="center" vertical="center"/>
    </xf>
    <xf numFmtId="164" fontId="0" fillId="6" borderId="37" xfId="1" applyFont="1" applyFill="1" applyBorder="1" applyAlignment="1">
      <alignment horizontal="center" vertical="center"/>
    </xf>
    <xf numFmtId="164" fontId="0" fillId="6" borderId="1" xfId="1" applyFont="1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3" fillId="6" borderId="46" xfId="0" applyFont="1" applyFill="1" applyBorder="1" applyAlignment="1">
      <alignment horizontal="center" vertical="center" wrapText="1"/>
    </xf>
    <xf numFmtId="164" fontId="0" fillId="6" borderId="47" xfId="1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167" fontId="0" fillId="5" borderId="22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64" fontId="0" fillId="5" borderId="29" xfId="0" applyNumberForma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 wrapText="1"/>
    </xf>
    <xf numFmtId="167" fontId="0" fillId="7" borderId="19" xfId="1" applyNumberFormat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167" fontId="0" fillId="5" borderId="21" xfId="1" applyNumberFormat="1" applyFont="1" applyFill="1" applyBorder="1" applyAlignment="1">
      <alignment horizontal="center" vertical="center"/>
    </xf>
    <xf numFmtId="167" fontId="0" fillId="5" borderId="23" xfId="1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/>
    </xf>
    <xf numFmtId="164" fontId="0" fillId="6" borderId="50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0" fillId="7" borderId="14" xfId="1" applyNumberFormat="1" applyFont="1" applyFill="1" applyBorder="1" applyAlignment="1">
      <alignment horizontal="center" vertical="center"/>
    </xf>
    <xf numFmtId="167" fontId="0" fillId="7" borderId="36" xfId="1" applyNumberFormat="1" applyFont="1" applyFill="1" applyBorder="1" applyAlignment="1">
      <alignment horizontal="center" vertical="center"/>
    </xf>
    <xf numFmtId="9" fontId="0" fillId="0" borderId="20" xfId="2" applyFon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6" borderId="51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" fontId="6" fillId="3" borderId="19" xfId="0" applyNumberFormat="1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/>
    </xf>
    <xf numFmtId="17" fontId="6" fillId="3" borderId="35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17" fontId="6" fillId="2" borderId="19" xfId="0" applyNumberFormat="1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 vertical="center"/>
    </xf>
    <xf numFmtId="17" fontId="6" fillId="2" borderId="14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/>
    </xf>
    <xf numFmtId="164" fontId="0" fillId="5" borderId="36" xfId="1" applyFont="1" applyFill="1" applyBorder="1" applyAlignment="1">
      <alignment horizontal="center" vertical="center"/>
    </xf>
    <xf numFmtId="164" fontId="0" fillId="5" borderId="24" xfId="1" applyFont="1" applyFill="1" applyBorder="1" applyAlignment="1">
      <alignment horizontal="center" vertical="center"/>
    </xf>
    <xf numFmtId="164" fontId="0" fillId="5" borderId="12" xfId="1" applyFont="1" applyFill="1" applyBorder="1" applyAlignment="1">
      <alignment horizontal="center" vertical="center"/>
    </xf>
    <xf numFmtId="167" fontId="0" fillId="5" borderId="35" xfId="1" applyNumberFormat="1" applyFont="1" applyFill="1" applyBorder="1" applyAlignment="1">
      <alignment horizontal="center" vertical="center"/>
    </xf>
    <xf numFmtId="167" fontId="0" fillId="5" borderId="39" xfId="1" applyNumberFormat="1" applyFont="1" applyFill="1" applyBorder="1" applyAlignment="1">
      <alignment horizontal="center" vertical="center"/>
    </xf>
    <xf numFmtId="167" fontId="0" fillId="5" borderId="2" xfId="1" applyNumberFormat="1" applyFont="1" applyFill="1" applyBorder="1" applyAlignment="1">
      <alignment horizontal="center" vertical="center"/>
    </xf>
    <xf numFmtId="164" fontId="0" fillId="5" borderId="35" xfId="1" applyFont="1" applyFill="1" applyBorder="1" applyAlignment="1">
      <alignment horizontal="center" vertical="center"/>
    </xf>
    <xf numFmtId="164" fontId="0" fillId="5" borderId="39" xfId="1" applyFont="1" applyFill="1" applyBorder="1" applyAlignment="1">
      <alignment horizontal="center" vertical="center"/>
    </xf>
    <xf numFmtId="164" fontId="0" fillId="5" borderId="2" xfId="1" applyFont="1" applyFill="1" applyBorder="1" applyAlignment="1">
      <alignment horizontal="center" vertical="center"/>
    </xf>
    <xf numFmtId="165" fontId="0" fillId="5" borderId="35" xfId="1" applyNumberFormat="1" applyFont="1" applyFill="1" applyBorder="1" applyAlignment="1">
      <alignment horizontal="center" vertical="center"/>
    </xf>
    <xf numFmtId="165" fontId="0" fillId="5" borderId="39" xfId="1" applyNumberFormat="1" applyFont="1" applyFill="1" applyBorder="1" applyAlignment="1">
      <alignment horizontal="center" vertical="center"/>
    </xf>
    <xf numFmtId="165" fontId="0" fillId="5" borderId="2" xfId="1" applyNumberFormat="1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3"/>
  <sheetViews>
    <sheetView tabSelected="1" topLeftCell="AF3" workbookViewId="0">
      <selection activeCell="AQ12" sqref="AQ12"/>
    </sheetView>
  </sheetViews>
  <sheetFormatPr baseColWidth="10" defaultRowHeight="15" x14ac:dyDescent="0.25"/>
  <cols>
    <col min="1" max="1" width="22.7109375" style="1" customWidth="1"/>
    <col min="2" max="2" width="25.5703125" style="1" customWidth="1"/>
    <col min="3" max="3" width="17.5703125" style="1" customWidth="1"/>
    <col min="4" max="5" width="15.7109375" style="1" customWidth="1"/>
    <col min="6" max="6" width="18.28515625" style="1" customWidth="1"/>
    <col min="7" max="7" width="12.7109375" style="1" customWidth="1"/>
    <col min="8" max="9" width="15" style="1" customWidth="1"/>
    <col min="10" max="10" width="13" style="1" customWidth="1"/>
    <col min="11" max="11" width="13.5703125" style="1" customWidth="1"/>
    <col min="12" max="12" width="12.28515625" style="1" customWidth="1"/>
    <col min="13" max="13" width="14.5703125" style="1" bestFit="1" customWidth="1"/>
    <col min="14" max="14" width="13.5703125" style="1" bestFit="1" customWidth="1"/>
    <col min="15" max="15" width="13.42578125" style="1" customWidth="1"/>
    <col min="16" max="16" width="12.7109375" style="1" customWidth="1"/>
    <col min="17" max="17" width="11.42578125" style="1"/>
    <col min="18" max="18" width="15.140625" style="1" customWidth="1"/>
    <col min="19" max="20" width="13.85546875" style="1" customWidth="1"/>
    <col min="21" max="22" width="13.140625" style="1" customWidth="1"/>
    <col min="23" max="23" width="13.42578125" style="1" customWidth="1"/>
    <col min="24" max="30" width="12.42578125" style="1" customWidth="1"/>
    <col min="31" max="31" width="18.42578125" style="1" customWidth="1"/>
    <col min="32" max="34" width="12.42578125" style="1" customWidth="1"/>
    <col min="35" max="35" width="14.5703125" style="1" customWidth="1"/>
    <col min="36" max="36" width="12.42578125" style="1" customWidth="1"/>
    <col min="37" max="38" width="14.7109375" style="1" customWidth="1"/>
    <col min="39" max="42" width="14" style="1" bestFit="1" customWidth="1"/>
    <col min="43" max="43" width="14" style="1" customWidth="1"/>
    <col min="44" max="46" width="14" style="1" bestFit="1" customWidth="1"/>
    <col min="47" max="47" width="14.5703125" style="1" bestFit="1" customWidth="1"/>
    <col min="48" max="16384" width="11.42578125" style="1"/>
  </cols>
  <sheetData>
    <row r="1" spans="1:51" ht="35.1" customHeight="1" thickBot="1" x14ac:dyDescent="0.3">
      <c r="A1" s="138" t="s">
        <v>31</v>
      </c>
      <c r="B1" s="139"/>
      <c r="C1" s="139"/>
      <c r="D1" s="139"/>
      <c r="E1" s="139"/>
    </row>
    <row r="2" spans="1:51" ht="35.1" customHeight="1" thickBot="1" x14ac:dyDescent="0.3">
      <c r="A2" s="35"/>
      <c r="B2" s="36"/>
      <c r="C2" s="152" t="s">
        <v>32</v>
      </c>
      <c r="D2" s="153"/>
      <c r="E2" s="153"/>
      <c r="F2" s="154"/>
      <c r="G2" s="160" t="s">
        <v>32</v>
      </c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/>
      <c r="T2" s="128" t="s">
        <v>47</v>
      </c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34" t="s">
        <v>72</v>
      </c>
      <c r="AN2" s="135"/>
      <c r="AO2" s="135"/>
      <c r="AP2" s="135"/>
      <c r="AQ2" s="135"/>
      <c r="AR2" s="135"/>
      <c r="AS2" s="135"/>
      <c r="AT2" s="135"/>
      <c r="AU2" s="120" t="s">
        <v>72</v>
      </c>
      <c r="AV2" s="121"/>
      <c r="AW2" s="121"/>
      <c r="AX2" s="121"/>
      <c r="AY2" s="122"/>
    </row>
    <row r="3" spans="1:51" ht="35.1" customHeight="1" thickBot="1" x14ac:dyDescent="0.3">
      <c r="A3" s="45"/>
      <c r="B3" s="36"/>
      <c r="C3" s="140" t="s">
        <v>18</v>
      </c>
      <c r="D3" s="141"/>
      <c r="E3" s="141"/>
      <c r="F3" s="142"/>
      <c r="G3" s="163" t="s">
        <v>25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  <c r="T3" s="130" t="s">
        <v>48</v>
      </c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/>
      <c r="AM3" s="136" t="s">
        <v>73</v>
      </c>
      <c r="AN3" s="137"/>
      <c r="AO3" s="137"/>
      <c r="AP3" s="137"/>
      <c r="AQ3" s="137"/>
      <c r="AR3" s="137"/>
      <c r="AS3" s="137"/>
      <c r="AT3" s="137"/>
      <c r="AU3" s="123" t="s">
        <v>88</v>
      </c>
      <c r="AV3" s="124"/>
      <c r="AW3" s="124"/>
      <c r="AX3" s="124"/>
      <c r="AY3" s="125"/>
    </row>
    <row r="4" spans="1:51" ht="63" x14ac:dyDescent="0.25">
      <c r="A4" s="15" t="s">
        <v>0</v>
      </c>
      <c r="B4" s="12" t="s">
        <v>4</v>
      </c>
      <c r="C4" s="11" t="s">
        <v>5</v>
      </c>
      <c r="D4" s="11" t="s">
        <v>15</v>
      </c>
      <c r="E4" s="11" t="s">
        <v>17</v>
      </c>
      <c r="F4" s="13" t="s">
        <v>21</v>
      </c>
      <c r="G4" s="16" t="s">
        <v>22</v>
      </c>
      <c r="H4" s="38" t="s">
        <v>23</v>
      </c>
      <c r="I4" s="155" t="s">
        <v>26</v>
      </c>
      <c r="J4" s="155"/>
      <c r="K4" s="38" t="s">
        <v>24</v>
      </c>
      <c r="L4" s="38" t="s">
        <v>34</v>
      </c>
      <c r="M4" s="38" t="s">
        <v>35</v>
      </c>
      <c r="N4" s="37" t="s">
        <v>37</v>
      </c>
      <c r="O4" s="38" t="s">
        <v>39</v>
      </c>
      <c r="P4" s="156" t="s">
        <v>41</v>
      </c>
      <c r="Q4" s="156"/>
      <c r="R4" s="38" t="s">
        <v>52</v>
      </c>
      <c r="S4" s="29" t="s">
        <v>42</v>
      </c>
      <c r="T4" s="16" t="s">
        <v>45</v>
      </c>
      <c r="U4" s="37" t="s">
        <v>43</v>
      </c>
      <c r="V4" s="38" t="s">
        <v>46</v>
      </c>
      <c r="W4" s="37" t="s">
        <v>44</v>
      </c>
      <c r="X4" s="56" t="s">
        <v>56</v>
      </c>
      <c r="Y4" s="39" t="s">
        <v>58</v>
      </c>
      <c r="Z4" s="56" t="s">
        <v>57</v>
      </c>
      <c r="AA4" s="39" t="s">
        <v>59</v>
      </c>
      <c r="AB4" s="39" t="s">
        <v>60</v>
      </c>
      <c r="AC4" s="56" t="s">
        <v>61</v>
      </c>
      <c r="AD4" s="40" t="s">
        <v>62</v>
      </c>
      <c r="AE4" s="56" t="s">
        <v>64</v>
      </c>
      <c r="AF4" s="39" t="s">
        <v>65</v>
      </c>
      <c r="AG4" s="133" t="s">
        <v>63</v>
      </c>
      <c r="AH4" s="133"/>
      <c r="AI4" s="40" t="s">
        <v>69</v>
      </c>
      <c r="AJ4" s="56" t="s">
        <v>71</v>
      </c>
      <c r="AK4" s="60" t="s">
        <v>70</v>
      </c>
      <c r="AL4" s="85" t="s">
        <v>78</v>
      </c>
      <c r="AM4" s="58" t="s">
        <v>74</v>
      </c>
      <c r="AN4" s="59" t="s">
        <v>75</v>
      </c>
      <c r="AO4" s="59" t="s">
        <v>81</v>
      </c>
      <c r="AP4" s="59" t="s">
        <v>82</v>
      </c>
      <c r="AQ4" s="59" t="s">
        <v>83</v>
      </c>
      <c r="AR4" s="59" t="s">
        <v>84</v>
      </c>
      <c r="AS4" s="59" t="s">
        <v>85</v>
      </c>
      <c r="AT4" s="94" t="s">
        <v>86</v>
      </c>
      <c r="AU4" s="96" t="s">
        <v>87</v>
      </c>
      <c r="AV4" s="101" t="s">
        <v>89</v>
      </c>
      <c r="AW4" s="101" t="s">
        <v>90</v>
      </c>
      <c r="AX4" s="101" t="s">
        <v>91</v>
      </c>
      <c r="AY4" s="102" t="s">
        <v>92</v>
      </c>
    </row>
    <row r="5" spans="1:51" x14ac:dyDescent="0.25">
      <c r="A5" s="46" t="s">
        <v>1</v>
      </c>
      <c r="B5" s="14">
        <v>81317</v>
      </c>
      <c r="C5" s="5">
        <f>(B5*15)/100+B5</f>
        <v>93514.55</v>
      </c>
      <c r="D5" s="5">
        <f>(B5*25)/100+B5</f>
        <v>101646.25</v>
      </c>
      <c r="E5" s="5">
        <f>(B5*35)/100+B5</f>
        <v>109777.95</v>
      </c>
      <c r="F5" s="9">
        <f>(B5*57.82)/100+B5</f>
        <v>128334.48940000001</v>
      </c>
      <c r="G5" s="6">
        <f>(F5*10)/100+F5</f>
        <v>141167.93833999999</v>
      </c>
      <c r="H5" s="4">
        <f>(F5*20)/100+F5</f>
        <v>154001.38728</v>
      </c>
      <c r="I5" s="182">
        <v>9265</v>
      </c>
      <c r="J5" s="179">
        <v>83284.399999999994</v>
      </c>
      <c r="K5" s="4">
        <f>(F5*30)/100+F5</f>
        <v>166834.83622</v>
      </c>
      <c r="L5" s="31">
        <f>F5*45/100+F5</f>
        <v>186085.00963000002</v>
      </c>
      <c r="M5" s="47">
        <f>F5*60/100+F5</f>
        <v>205335.18304</v>
      </c>
      <c r="N5" s="176">
        <v>32038</v>
      </c>
      <c r="O5" s="31">
        <f>F5*70/100+F5</f>
        <v>218168.63198000001</v>
      </c>
      <c r="P5" s="31">
        <f>F5*80/100+F5</f>
        <v>231002.08092000001</v>
      </c>
      <c r="Q5" s="48">
        <f>F5*19/100</f>
        <v>24383.552986000002</v>
      </c>
      <c r="R5" s="31">
        <f>F5*108.8/100+F5</f>
        <v>267962.41386720003</v>
      </c>
      <c r="S5" s="173">
        <v>18453</v>
      </c>
      <c r="T5" s="8">
        <f>R5*11/100+R5</f>
        <v>297438.27939259203</v>
      </c>
      <c r="U5" s="179">
        <v>83618</v>
      </c>
      <c r="V5" s="3">
        <f>R5*25/100+R5</f>
        <v>334953.01733400003</v>
      </c>
      <c r="W5" s="179">
        <v>83617</v>
      </c>
      <c r="X5" s="179">
        <v>55187.5</v>
      </c>
      <c r="Y5" s="3">
        <f>R5*40/100+R5</f>
        <v>375147.37941408006</v>
      </c>
      <c r="Z5" s="179">
        <v>55187.5</v>
      </c>
      <c r="AA5" s="3">
        <f>R5*52.5/100+R5</f>
        <v>408642.68114748003</v>
      </c>
      <c r="AB5" s="3">
        <f>R5*70/100+R5</f>
        <v>455536.10357424</v>
      </c>
      <c r="AC5" s="179">
        <v>20066</v>
      </c>
      <c r="AD5" s="3">
        <f>R5*93.1/100+R5</f>
        <v>517435.42117756326</v>
      </c>
      <c r="AE5" s="179">
        <v>17524</v>
      </c>
      <c r="AF5" s="3">
        <f>R5*148.1/100+R5</f>
        <v>664814.74880452326</v>
      </c>
      <c r="AG5" s="179">
        <v>20066</v>
      </c>
      <c r="AH5" s="179">
        <v>53515</v>
      </c>
      <c r="AI5" s="44">
        <f>R5*184.5/100+R5</f>
        <v>762353.06745218404</v>
      </c>
      <c r="AJ5" s="179">
        <v>48698</v>
      </c>
      <c r="AK5" s="61">
        <f>R5*197/100+R5</f>
        <v>795848.36918558402</v>
      </c>
      <c r="AL5" s="86">
        <f>R5*257.48/100+R5</f>
        <v>957912.03709246661</v>
      </c>
      <c r="AM5" s="64">
        <f>AL5*8.8/100+AL5</f>
        <v>1042208.2963566037</v>
      </c>
      <c r="AN5" s="63">
        <f>AL5*13.37/100+AL5</f>
        <v>1085984.8764517293</v>
      </c>
      <c r="AO5" s="10">
        <f>AL5*28.51/100+AL5</f>
        <v>1231012.7588675288</v>
      </c>
      <c r="AP5" s="10">
        <f>AL5*32.51/100+AL5</f>
        <v>1269329.2403512276</v>
      </c>
      <c r="AQ5" s="10">
        <f>AL5*36.6/100+AL5</f>
        <v>1308507.8426683093</v>
      </c>
      <c r="AR5" s="10">
        <f>AL5*40.6/100+AL5</f>
        <v>1346824.3241520082</v>
      </c>
      <c r="AS5" s="10">
        <f>AL5*43.6/100+AL5</f>
        <v>1375561.685264782</v>
      </c>
      <c r="AT5" s="34">
        <f>AL5*46.6/100+AL5</f>
        <v>1404299.0463775559</v>
      </c>
      <c r="AU5" s="97">
        <v>1493388</v>
      </c>
      <c r="AV5" s="92">
        <f>AU5*3/100+AU5</f>
        <v>1538189.64</v>
      </c>
      <c r="AW5" s="92">
        <f>AU5*6/100+AU5</f>
        <v>1582991.28</v>
      </c>
      <c r="AX5" s="92">
        <f>AU5*9/100+AU5</f>
        <v>1627792.92</v>
      </c>
      <c r="AY5" s="98">
        <f>AU5*12/100+AU5</f>
        <v>1672594.56</v>
      </c>
    </row>
    <row r="6" spans="1:51" x14ac:dyDescent="0.25">
      <c r="A6" s="46" t="s">
        <v>2</v>
      </c>
      <c r="B6" s="14">
        <v>97051</v>
      </c>
      <c r="C6" s="5">
        <f>(B6*15)/100+B6</f>
        <v>111608.65</v>
      </c>
      <c r="D6" s="5">
        <f>(B6*25)/100+B6</f>
        <v>121313.75</v>
      </c>
      <c r="E6" s="5">
        <f>(B6*35)/100+B6</f>
        <v>131018.85</v>
      </c>
      <c r="F6" s="9">
        <f>(B6*57.82)/100+B6</f>
        <v>153165.88819999999</v>
      </c>
      <c r="G6" s="6">
        <f t="shared" ref="G6:G7" si="0">(F6*10)/100+F6</f>
        <v>168482.47701999999</v>
      </c>
      <c r="H6" s="4">
        <f t="shared" ref="H6:H7" si="1">(F6*20)/100+F6</f>
        <v>183799.06584</v>
      </c>
      <c r="I6" s="183"/>
      <c r="J6" s="180"/>
      <c r="K6" s="4">
        <f t="shared" ref="K6:K7" si="2">(F6*30)/100+F6</f>
        <v>199115.65466</v>
      </c>
      <c r="L6" s="31">
        <f t="shared" ref="L6:L7" si="3">F6*45/100+F6</f>
        <v>222090.53788999998</v>
      </c>
      <c r="M6" s="47">
        <f t="shared" ref="M6:M7" si="4">F6*60/100+F6</f>
        <v>245065.42111999998</v>
      </c>
      <c r="N6" s="177"/>
      <c r="O6" s="31">
        <f t="shared" ref="O6:O7" si="5">F6*70/100+F6</f>
        <v>260382.00993999996</v>
      </c>
      <c r="P6" s="31">
        <f t="shared" ref="P6:P7" si="6">F6*80/100+F6</f>
        <v>275698.59875999996</v>
      </c>
      <c r="Q6" s="48">
        <f t="shared" ref="Q6:Q8" si="7">F6*19/100</f>
        <v>29101.518757999995</v>
      </c>
      <c r="R6" s="31">
        <f t="shared" ref="R6:R8" si="8">F6*108.8/100+F6</f>
        <v>319810.37456159992</v>
      </c>
      <c r="S6" s="174"/>
      <c r="T6" s="8">
        <f t="shared" ref="T6:T8" si="9">R6*11/100+R6</f>
        <v>354989.51576337591</v>
      </c>
      <c r="U6" s="180"/>
      <c r="V6" s="3">
        <f t="shared" ref="V6:V8" si="10">R6*25/100+R6</f>
        <v>399762.9682019999</v>
      </c>
      <c r="W6" s="180"/>
      <c r="X6" s="180"/>
      <c r="Y6" s="3">
        <f t="shared" ref="Y6:Y8" si="11">R6*40/100+R6</f>
        <v>447734.52438623988</v>
      </c>
      <c r="Z6" s="180"/>
      <c r="AA6" s="3">
        <f t="shared" ref="AA6:AA8" si="12">R6*52.5/100+R6</f>
        <v>487710.82120643987</v>
      </c>
      <c r="AB6" s="3">
        <f t="shared" ref="AB6:AB8" si="13">R6*70/100+R6</f>
        <v>543677.63675471989</v>
      </c>
      <c r="AC6" s="180"/>
      <c r="AD6" s="3">
        <f t="shared" ref="AD6:AD8" si="14">R6*93.1/100+R6</f>
        <v>617553.83327844949</v>
      </c>
      <c r="AE6" s="180"/>
      <c r="AF6" s="3">
        <f t="shared" ref="AF6:AF8" si="15">R6*148.1/100+R6</f>
        <v>793449.53928732942</v>
      </c>
      <c r="AG6" s="180"/>
      <c r="AH6" s="180"/>
      <c r="AI6" s="44">
        <f t="shared" ref="AI6:AI8" si="16">R6*184.5/100+R6</f>
        <v>909860.51562775183</v>
      </c>
      <c r="AJ6" s="180"/>
      <c r="AK6" s="61">
        <f t="shared" ref="AK6:AK8" si="17">R6*197/100+R6</f>
        <v>949836.81244795176</v>
      </c>
      <c r="AL6" s="86">
        <f t="shared" ref="AL6:AL8" si="18">R6*257.48/100+R6</f>
        <v>1143258.1269828076</v>
      </c>
      <c r="AM6" s="64">
        <f t="shared" ref="AM6:AM9" si="19">AL6*8.8/100+AL6</f>
        <v>1243864.8421572947</v>
      </c>
      <c r="AN6" s="63">
        <f t="shared" ref="AN6:AN8" si="20">AL6*13.37/100+AL6</f>
        <v>1296111.7385604091</v>
      </c>
      <c r="AO6" s="10">
        <f t="shared" ref="AO6:AO8" si="21">AL6*28.51/100+AL6</f>
        <v>1469201.018985606</v>
      </c>
      <c r="AP6" s="10">
        <f t="shared" ref="AP6:AP8" si="22">AL6*32.51/100+AL6</f>
        <v>1514931.3440649183</v>
      </c>
      <c r="AQ6" s="10">
        <f>AL6*36.6/100+AL6</f>
        <v>1561690.6014585153</v>
      </c>
      <c r="AR6" s="10">
        <f t="shared" ref="AR6:AR8" si="23">AL6*40.6/100+AL6</f>
        <v>1607420.9265378276</v>
      </c>
      <c r="AS6" s="10">
        <f t="shared" ref="AS6:AS8" si="24">AL6*43.6/100+AL6</f>
        <v>1641718.6703473118</v>
      </c>
      <c r="AT6" s="34">
        <f t="shared" ref="AT6:AT8" si="25">AL6*46.6/100+AL6</f>
        <v>1676016.4141567959</v>
      </c>
      <c r="AU6" s="97">
        <v>1782343</v>
      </c>
      <c r="AV6" s="92">
        <f t="shared" ref="AV6:AV9" si="26">AU6*3/100+AU6</f>
        <v>1835813.29</v>
      </c>
      <c r="AW6" s="92">
        <f t="shared" ref="AW6:AW8" si="27">AU6*6/100+AU6</f>
        <v>1889283.58</v>
      </c>
      <c r="AX6" s="92">
        <f t="shared" ref="AX6:AX8" si="28">AU6*9/100+AU6</f>
        <v>1942753.87</v>
      </c>
      <c r="AY6" s="98">
        <f t="shared" ref="AY6:AY8" si="29">AU6*12/100+AU6</f>
        <v>1996224.16</v>
      </c>
    </row>
    <row r="7" spans="1:51" ht="15.75" thickBot="1" x14ac:dyDescent="0.3">
      <c r="A7" s="49" t="s">
        <v>3</v>
      </c>
      <c r="B7" s="17">
        <v>115060</v>
      </c>
      <c r="C7" s="18">
        <f>(B7*15)/100+B7</f>
        <v>132319</v>
      </c>
      <c r="D7" s="18">
        <f>(B7*25)/100+B7</f>
        <v>143825</v>
      </c>
      <c r="E7" s="18">
        <f>(B7*35)/100+B7</f>
        <v>155331</v>
      </c>
      <c r="F7" s="19">
        <f>(B7*57.82)/100+B7</f>
        <v>181587.69199999998</v>
      </c>
      <c r="G7" s="6">
        <f t="shared" si="0"/>
        <v>199746.46119999999</v>
      </c>
      <c r="H7" s="4">
        <f t="shared" si="1"/>
        <v>217905.23039999997</v>
      </c>
      <c r="I7" s="183"/>
      <c r="J7" s="180"/>
      <c r="K7" s="4">
        <f t="shared" si="2"/>
        <v>236063.99959999998</v>
      </c>
      <c r="L7" s="31">
        <f t="shared" si="3"/>
        <v>263302.15339999995</v>
      </c>
      <c r="M7" s="47">
        <f t="shared" si="4"/>
        <v>290540.30719999998</v>
      </c>
      <c r="N7" s="177"/>
      <c r="O7" s="31">
        <f t="shared" si="5"/>
        <v>308699.07639999996</v>
      </c>
      <c r="P7" s="31">
        <f t="shared" si="6"/>
        <v>326857.8456</v>
      </c>
      <c r="Q7" s="48">
        <f t="shared" si="7"/>
        <v>34501.661479999995</v>
      </c>
      <c r="R7" s="31">
        <f t="shared" si="8"/>
        <v>379155.10089599993</v>
      </c>
      <c r="S7" s="174"/>
      <c r="T7" s="8">
        <f t="shared" si="9"/>
        <v>420862.16199455992</v>
      </c>
      <c r="U7" s="180"/>
      <c r="V7" s="3">
        <f t="shared" si="10"/>
        <v>473943.87611999991</v>
      </c>
      <c r="W7" s="180"/>
      <c r="X7" s="180"/>
      <c r="Y7" s="3">
        <f t="shared" si="11"/>
        <v>530817.1412543999</v>
      </c>
      <c r="Z7" s="180"/>
      <c r="AA7" s="3">
        <f t="shared" si="12"/>
        <v>578211.52886639989</v>
      </c>
      <c r="AB7" s="3">
        <f t="shared" si="13"/>
        <v>644563.67152319988</v>
      </c>
      <c r="AC7" s="180"/>
      <c r="AD7" s="3">
        <f t="shared" si="14"/>
        <v>732148.49983017589</v>
      </c>
      <c r="AE7" s="180"/>
      <c r="AF7" s="3">
        <f t="shared" si="15"/>
        <v>940683.80532297574</v>
      </c>
      <c r="AG7" s="180"/>
      <c r="AH7" s="180"/>
      <c r="AI7" s="44">
        <f t="shared" si="16"/>
        <v>1078696.2620491197</v>
      </c>
      <c r="AJ7" s="180"/>
      <c r="AK7" s="61">
        <f t="shared" si="17"/>
        <v>1126090.6496611198</v>
      </c>
      <c r="AL7" s="86">
        <f t="shared" si="18"/>
        <v>1355403.6546830207</v>
      </c>
      <c r="AM7" s="64">
        <f t="shared" si="19"/>
        <v>1474679.1762951266</v>
      </c>
      <c r="AN7" s="63">
        <f t="shared" si="20"/>
        <v>1536621.1233141406</v>
      </c>
      <c r="AO7" s="10">
        <f t="shared" si="21"/>
        <v>1741829.2366331499</v>
      </c>
      <c r="AP7" s="10">
        <f t="shared" si="22"/>
        <v>1796045.3828204707</v>
      </c>
      <c r="AQ7" s="10">
        <f>AL7*36.6/100+AL7</f>
        <v>1851481.3922970062</v>
      </c>
      <c r="AR7" s="10">
        <f t="shared" si="23"/>
        <v>1905697.538484327</v>
      </c>
      <c r="AS7" s="10">
        <f t="shared" si="24"/>
        <v>1946359.6481248178</v>
      </c>
      <c r="AT7" s="34">
        <f t="shared" si="25"/>
        <v>1987021.7577653085</v>
      </c>
      <c r="AU7" s="97">
        <v>2113073</v>
      </c>
      <c r="AV7" s="92">
        <f t="shared" si="26"/>
        <v>2176465.19</v>
      </c>
      <c r="AW7" s="92">
        <f t="shared" si="27"/>
        <v>2239857.38</v>
      </c>
      <c r="AX7" s="92">
        <f t="shared" si="28"/>
        <v>2303249.5699999998</v>
      </c>
      <c r="AY7" s="98">
        <f t="shared" si="29"/>
        <v>2366641.7599999998</v>
      </c>
    </row>
    <row r="8" spans="1:51" x14ac:dyDescent="0.25">
      <c r="A8" s="65" t="s">
        <v>40</v>
      </c>
      <c r="B8" s="66">
        <f t="shared" ref="B8:H8" si="30">B5/25</f>
        <v>3252.68</v>
      </c>
      <c r="C8" s="67">
        <f t="shared" si="30"/>
        <v>3740.5820000000003</v>
      </c>
      <c r="D8" s="67">
        <f t="shared" si="30"/>
        <v>4065.85</v>
      </c>
      <c r="E8" s="67">
        <f t="shared" si="30"/>
        <v>4391.1179999999995</v>
      </c>
      <c r="F8" s="68">
        <f t="shared" si="30"/>
        <v>5133.3795760000003</v>
      </c>
      <c r="G8" s="69">
        <f t="shared" si="30"/>
        <v>5646.7175336</v>
      </c>
      <c r="H8" s="18">
        <f t="shared" si="30"/>
        <v>6160.0554911999998</v>
      </c>
      <c r="I8" s="183"/>
      <c r="J8" s="180"/>
      <c r="K8" s="18">
        <f>K5/25</f>
        <v>6673.3934487999995</v>
      </c>
      <c r="L8" s="18">
        <f>L5/25</f>
        <v>7443.4003852000005</v>
      </c>
      <c r="M8" s="18">
        <f>M5/25</f>
        <v>8213.4073215999997</v>
      </c>
      <c r="N8" s="177"/>
      <c r="O8" s="18">
        <f>O5/25</f>
        <v>8726.7452792000004</v>
      </c>
      <c r="P8" s="18">
        <f>P5/25</f>
        <v>9240.083236800001</v>
      </c>
      <c r="Q8" s="70">
        <f t="shared" si="7"/>
        <v>975.34211944000015</v>
      </c>
      <c r="R8" s="71">
        <f t="shared" si="8"/>
        <v>10718.496554688001</v>
      </c>
      <c r="S8" s="174"/>
      <c r="T8" s="22">
        <f t="shared" si="9"/>
        <v>11897.531175703682</v>
      </c>
      <c r="U8" s="180"/>
      <c r="V8" s="21">
        <f t="shared" si="10"/>
        <v>13398.120693360001</v>
      </c>
      <c r="W8" s="180"/>
      <c r="X8" s="180"/>
      <c r="Y8" s="21">
        <f t="shared" si="11"/>
        <v>15005.895176563201</v>
      </c>
      <c r="Z8" s="180"/>
      <c r="AA8" s="21">
        <f t="shared" si="12"/>
        <v>16345.707245899201</v>
      </c>
      <c r="AB8" s="21">
        <f t="shared" si="13"/>
        <v>18221.444142969602</v>
      </c>
      <c r="AC8" s="180"/>
      <c r="AD8" s="21">
        <f t="shared" si="14"/>
        <v>20697.41684710253</v>
      </c>
      <c r="AE8" s="180"/>
      <c r="AF8" s="21">
        <f t="shared" si="15"/>
        <v>26592.58995218093</v>
      </c>
      <c r="AG8" s="180"/>
      <c r="AH8" s="180"/>
      <c r="AI8" s="72">
        <f t="shared" si="16"/>
        <v>30494.122698087365</v>
      </c>
      <c r="AJ8" s="180"/>
      <c r="AK8" s="73">
        <f t="shared" si="17"/>
        <v>31833.934767423365</v>
      </c>
      <c r="AL8" s="87">
        <f t="shared" si="18"/>
        <v>38316.48148369867</v>
      </c>
      <c r="AM8" s="74">
        <f t="shared" si="19"/>
        <v>41688.33185426415</v>
      </c>
      <c r="AN8" s="75">
        <f t="shared" si="20"/>
        <v>43439.395058069182</v>
      </c>
      <c r="AO8" s="23">
        <f t="shared" si="21"/>
        <v>49240.51035470116</v>
      </c>
      <c r="AP8" s="10">
        <f t="shared" si="22"/>
        <v>50773.169614049104</v>
      </c>
      <c r="AQ8" s="10">
        <f>AL8*36.6/100+AL8</f>
        <v>52340.313706732384</v>
      </c>
      <c r="AR8" s="10">
        <f t="shared" si="23"/>
        <v>53872.972966080328</v>
      </c>
      <c r="AS8" s="10">
        <f t="shared" si="24"/>
        <v>55022.467410591285</v>
      </c>
      <c r="AT8" s="34">
        <f t="shared" si="25"/>
        <v>56171.96185510225</v>
      </c>
      <c r="AU8" s="97">
        <v>59733</v>
      </c>
      <c r="AV8" s="92">
        <f t="shared" si="26"/>
        <v>61524.99</v>
      </c>
      <c r="AW8" s="92">
        <f t="shared" si="27"/>
        <v>63316.98</v>
      </c>
      <c r="AX8" s="92">
        <f t="shared" si="28"/>
        <v>65108.97</v>
      </c>
      <c r="AY8" s="98">
        <f t="shared" si="29"/>
        <v>66900.960000000006</v>
      </c>
    </row>
    <row r="9" spans="1:51" ht="15.75" thickBot="1" x14ac:dyDescent="0.3">
      <c r="A9" s="78" t="s">
        <v>76</v>
      </c>
      <c r="B9" s="79"/>
      <c r="C9" s="79"/>
      <c r="D9" s="79"/>
      <c r="E9" s="79"/>
      <c r="F9" s="79"/>
      <c r="G9" s="79"/>
      <c r="H9" s="79"/>
      <c r="I9" s="184"/>
      <c r="J9" s="181"/>
      <c r="K9" s="79"/>
      <c r="L9" s="79"/>
      <c r="M9" s="79"/>
      <c r="N9" s="178"/>
      <c r="O9" s="79"/>
      <c r="P9" s="79"/>
      <c r="Q9" s="83"/>
      <c r="R9" s="84"/>
      <c r="S9" s="175"/>
      <c r="T9" s="62"/>
      <c r="U9" s="181"/>
      <c r="V9" s="62"/>
      <c r="W9" s="181"/>
      <c r="X9" s="181"/>
      <c r="Y9" s="62"/>
      <c r="Z9" s="181"/>
      <c r="AA9" s="62"/>
      <c r="AB9" s="62"/>
      <c r="AC9" s="181"/>
      <c r="AD9" s="62"/>
      <c r="AE9" s="181"/>
      <c r="AF9" s="62"/>
      <c r="AG9" s="181"/>
      <c r="AH9" s="181"/>
      <c r="AI9" s="62"/>
      <c r="AJ9" s="181"/>
      <c r="AK9" s="62"/>
      <c r="AL9" s="88">
        <v>478262</v>
      </c>
      <c r="AM9" s="80">
        <f t="shared" si="19"/>
        <v>520349.05599999998</v>
      </c>
      <c r="AN9" s="81">
        <f>AL9*4.57/100</f>
        <v>21856.573400000005</v>
      </c>
      <c r="AO9" s="82">
        <f>AL9*15.14/100</f>
        <v>72408.866800000003</v>
      </c>
      <c r="AP9" s="82">
        <f>AL9*4/100</f>
        <v>19130.48</v>
      </c>
      <c r="AQ9" s="82">
        <f>AL9*4.09/100</f>
        <v>19560.915799999999</v>
      </c>
      <c r="AR9" s="82">
        <f>AL9*4/100</f>
        <v>19130.48</v>
      </c>
      <c r="AS9" s="82">
        <f>AL9*3/100</f>
        <v>14347.86</v>
      </c>
      <c r="AT9" s="95">
        <f>AL9*3/100</f>
        <v>14347.86</v>
      </c>
      <c r="AU9" s="99"/>
      <c r="AV9" s="93">
        <f t="shared" si="26"/>
        <v>0</v>
      </c>
      <c r="AW9" s="93"/>
      <c r="AX9" s="93"/>
      <c r="AY9" s="100"/>
    </row>
    <row r="10" spans="1:51" ht="15.75" thickBot="1" x14ac:dyDescent="0.3">
      <c r="N10" s="50"/>
      <c r="AG10" s="51"/>
      <c r="AH10" s="1" t="s">
        <v>66</v>
      </c>
    </row>
    <row r="11" spans="1:51" ht="35.1" customHeight="1" thickBot="1" x14ac:dyDescent="0.3">
      <c r="A11" s="143" t="s">
        <v>20</v>
      </c>
      <c r="B11" s="144"/>
      <c r="C11" s="144"/>
      <c r="D11" s="144"/>
      <c r="E11" s="144"/>
      <c r="F11" s="144"/>
      <c r="G11" s="145"/>
      <c r="H11" s="157" t="s">
        <v>27</v>
      </c>
      <c r="I11" s="158"/>
      <c r="J11" s="158"/>
      <c r="K11" s="158"/>
      <c r="L11" s="158"/>
      <c r="M11" s="158"/>
      <c r="N11" s="158"/>
      <c r="O11" s="158"/>
      <c r="P11" s="159"/>
      <c r="Q11" s="160" t="s">
        <v>49</v>
      </c>
      <c r="R11" s="161"/>
      <c r="S11" s="161"/>
      <c r="T11" s="161"/>
      <c r="U11" s="161"/>
      <c r="V11" s="161"/>
      <c r="W11" s="161"/>
      <c r="X11" s="161"/>
      <c r="Y11" s="161"/>
      <c r="Z11" s="172"/>
      <c r="AA11" s="128" t="s">
        <v>77</v>
      </c>
      <c r="AB11" s="121"/>
      <c r="AC11" s="121"/>
      <c r="AD11" s="121"/>
      <c r="AE11" s="121"/>
      <c r="AF11" s="121"/>
      <c r="AG11" s="121"/>
      <c r="AH11" s="188"/>
      <c r="AI11" s="185" t="s">
        <v>93</v>
      </c>
      <c r="AJ11" s="186"/>
      <c r="AK11" s="186"/>
      <c r="AL11" s="186"/>
      <c r="AM11" s="187"/>
      <c r="AN11" s="89"/>
    </row>
    <row r="12" spans="1:51" ht="63" x14ac:dyDescent="0.25">
      <c r="A12" s="118" t="s">
        <v>33</v>
      </c>
      <c r="B12" s="118" t="s">
        <v>6</v>
      </c>
      <c r="C12" s="12" t="s">
        <v>16</v>
      </c>
      <c r="D12" s="11" t="s">
        <v>5</v>
      </c>
      <c r="E12" s="11" t="s">
        <v>15</v>
      </c>
      <c r="F12" s="11" t="s">
        <v>17</v>
      </c>
      <c r="G12" s="26" t="s">
        <v>19</v>
      </c>
      <c r="H12" s="24" t="s">
        <v>22</v>
      </c>
      <c r="I12" s="11" t="s">
        <v>23</v>
      </c>
      <c r="J12" s="11" t="s">
        <v>24</v>
      </c>
      <c r="K12" s="11" t="s">
        <v>34</v>
      </c>
      <c r="L12" s="11" t="s">
        <v>35</v>
      </c>
      <c r="M12" s="11" t="s">
        <v>36</v>
      </c>
      <c r="N12" s="11" t="s">
        <v>55</v>
      </c>
      <c r="O12" s="25" t="s">
        <v>38</v>
      </c>
      <c r="P12" s="33" t="s">
        <v>54</v>
      </c>
      <c r="Q12" s="16" t="s">
        <v>50</v>
      </c>
      <c r="R12" s="38" t="s">
        <v>51</v>
      </c>
      <c r="S12" s="39" t="s">
        <v>58</v>
      </c>
      <c r="T12" s="39" t="s">
        <v>59</v>
      </c>
      <c r="U12" s="39" t="s">
        <v>60</v>
      </c>
      <c r="V12" s="40" t="s">
        <v>62</v>
      </c>
      <c r="W12" s="39" t="s">
        <v>65</v>
      </c>
      <c r="X12" s="41" t="s">
        <v>67</v>
      </c>
      <c r="Y12" s="60" t="s">
        <v>68</v>
      </c>
      <c r="Z12" s="90" t="s">
        <v>80</v>
      </c>
      <c r="AA12" s="58" t="s">
        <v>74</v>
      </c>
      <c r="AB12" s="59" t="s">
        <v>79</v>
      </c>
      <c r="AC12" s="59" t="s">
        <v>81</v>
      </c>
      <c r="AD12" s="59" t="s">
        <v>82</v>
      </c>
      <c r="AE12" s="59" t="s">
        <v>83</v>
      </c>
      <c r="AF12" s="59" t="s">
        <v>84</v>
      </c>
      <c r="AG12" s="59" t="s">
        <v>85</v>
      </c>
      <c r="AH12" s="103" t="s">
        <v>102</v>
      </c>
      <c r="AI12" s="58" t="s">
        <v>95</v>
      </c>
      <c r="AJ12" s="10" t="s">
        <v>94</v>
      </c>
      <c r="AK12" s="57" t="s">
        <v>96</v>
      </c>
      <c r="AL12" s="57" t="s">
        <v>97</v>
      </c>
      <c r="AM12" s="109"/>
    </row>
    <row r="13" spans="1:51" ht="45" x14ac:dyDescent="0.25">
      <c r="A13" s="41" t="s">
        <v>7</v>
      </c>
      <c r="B13" s="41" t="s">
        <v>11</v>
      </c>
      <c r="C13" s="7">
        <v>830</v>
      </c>
      <c r="D13" s="3">
        <v>955</v>
      </c>
      <c r="E13" s="3">
        <v>1038</v>
      </c>
      <c r="F13" s="3">
        <v>1121</v>
      </c>
      <c r="G13" s="27">
        <f>(C13*57.82)/100+C13</f>
        <v>1309.9059999999999</v>
      </c>
      <c r="H13" s="8">
        <f>(G13*10)/100+G13</f>
        <v>1440.8966</v>
      </c>
      <c r="I13" s="3">
        <f t="shared" ref="I13:I16" si="31">(G13*20)/100+G13</f>
        <v>1571.8871999999999</v>
      </c>
      <c r="J13" s="3">
        <f t="shared" ref="J13:J16" si="32">(G13*30)/100+G13</f>
        <v>1702.8778</v>
      </c>
      <c r="K13" s="10">
        <f>G13*45/100+G13</f>
        <v>1899.3636999999999</v>
      </c>
      <c r="L13" s="10">
        <f>G13*60/100+G13</f>
        <v>2095.8496</v>
      </c>
      <c r="M13" s="10">
        <f>G13*70/100+G13</f>
        <v>2226.8402000000001</v>
      </c>
      <c r="N13" s="10">
        <f>G13*80/100+G13</f>
        <v>2357.8307999999997</v>
      </c>
      <c r="O13" s="30">
        <f>H13*19/100</f>
        <v>273.770354</v>
      </c>
      <c r="P13" s="34">
        <f>G13*108.8/100+G13</f>
        <v>2735.0837279999996</v>
      </c>
      <c r="Q13" s="42">
        <f>P13*11/100+P13</f>
        <v>3035.9429380799997</v>
      </c>
      <c r="R13" s="10">
        <f>P13*25/100+P13</f>
        <v>3418.8546599999995</v>
      </c>
      <c r="S13" s="3">
        <f>P13*40/100+P13</f>
        <v>3829.1172191999995</v>
      </c>
      <c r="T13" s="3">
        <f>P13*52.5/100+P13</f>
        <v>4171.0026851999992</v>
      </c>
      <c r="U13" s="3">
        <v>4651</v>
      </c>
      <c r="V13" s="3">
        <v>5283</v>
      </c>
      <c r="W13" s="3">
        <f>P13*148.1/100+P13</f>
        <v>6785.7427291679987</v>
      </c>
      <c r="X13" s="10">
        <f>P13*184.5/100+P13</f>
        <v>7781.313206159999</v>
      </c>
      <c r="Y13" s="61">
        <f>P13*197/100+P13</f>
        <v>8123.1986721599997</v>
      </c>
      <c r="Z13" s="91">
        <v>9781</v>
      </c>
      <c r="AA13" s="8">
        <f>Z13*8.8/100+Z13</f>
        <v>10641.727999999999</v>
      </c>
      <c r="AB13" s="3">
        <f>Z13*13.37/100+Z13</f>
        <v>11088.7197</v>
      </c>
      <c r="AC13" s="3">
        <f>Z13*28.51/100+Z13</f>
        <v>12569.563099999999</v>
      </c>
      <c r="AD13" s="3">
        <f>Z13*32.51/100+Z13</f>
        <v>12960.803100000001</v>
      </c>
      <c r="AE13" s="10">
        <f>Z13*36.6/100+Z13</f>
        <v>13360.846000000001</v>
      </c>
      <c r="AF13" s="3">
        <f>Z13*40.6/100+Z13</f>
        <v>13752.085999999999</v>
      </c>
      <c r="AG13" s="3">
        <f>Z13*43.6/100+Z13</f>
        <v>14045.516</v>
      </c>
      <c r="AH13" s="107">
        <v>15449</v>
      </c>
      <c r="AI13" s="64">
        <f>AH13*3/100+AH13</f>
        <v>15912.47</v>
      </c>
      <c r="AJ13" s="63">
        <f>AH13*6/100+AH13</f>
        <v>16375.94</v>
      </c>
      <c r="AK13" s="63">
        <f>AH13*9/100+AH13</f>
        <v>16839.41</v>
      </c>
      <c r="AL13" s="63">
        <f>AH13*12/100+AH13</f>
        <v>17302.88</v>
      </c>
      <c r="AM13" s="54"/>
    </row>
    <row r="14" spans="1:51" ht="60" x14ac:dyDescent="0.25">
      <c r="A14" s="41" t="s">
        <v>8</v>
      </c>
      <c r="B14" s="41" t="s">
        <v>12</v>
      </c>
      <c r="C14" s="7">
        <v>1510</v>
      </c>
      <c r="D14" s="3">
        <f>(C14*15)/100+C14</f>
        <v>1736.5</v>
      </c>
      <c r="E14" s="3">
        <f>(C14*25)/100+C14</f>
        <v>1887.5</v>
      </c>
      <c r="F14" s="3">
        <f>(C14*35)/100+C14</f>
        <v>2038.5</v>
      </c>
      <c r="G14" s="27">
        <f>(C14*57.82)/100+C14</f>
        <v>2383.0819999999999</v>
      </c>
      <c r="H14" s="8">
        <f t="shared" ref="H14:H16" si="33">(G14*10)/100+G14</f>
        <v>2621.3901999999998</v>
      </c>
      <c r="I14" s="3">
        <f t="shared" si="31"/>
        <v>2859.6983999999998</v>
      </c>
      <c r="J14" s="3">
        <f t="shared" si="32"/>
        <v>3098.0065999999997</v>
      </c>
      <c r="K14" s="10">
        <f t="shared" ref="K14:K16" si="34">G14*45/100+G14</f>
        <v>3455.4688999999998</v>
      </c>
      <c r="L14" s="10">
        <f t="shared" ref="L14:L16" si="35">G14*60/100+G14</f>
        <v>3812.9312</v>
      </c>
      <c r="M14" s="10">
        <f t="shared" ref="M14:M16" si="36">G14*70/100+G14</f>
        <v>4051.2393999999995</v>
      </c>
      <c r="N14" s="10">
        <f t="shared" ref="N14:N16" si="37">G14*80/100+G14</f>
        <v>4289.5475999999999</v>
      </c>
      <c r="O14" s="30">
        <f t="shared" ref="O14:O16" si="38">H14*19/100</f>
        <v>498.06413799999996</v>
      </c>
      <c r="P14" s="34">
        <f t="shared" ref="P14:P17" si="39">G14*108.8/100+G14</f>
        <v>4975.8752159999995</v>
      </c>
      <c r="Q14" s="42">
        <f t="shared" ref="Q14:Q16" si="40">P14*11/100+P14</f>
        <v>5523.2214897599997</v>
      </c>
      <c r="R14" s="10">
        <f t="shared" ref="R14:R16" si="41">P14*25/100+P14</f>
        <v>6219.8440199999995</v>
      </c>
      <c r="S14" s="3">
        <f t="shared" ref="S14:S17" si="42">P14*40/100+P14</f>
        <v>6966.2253023999992</v>
      </c>
      <c r="T14" s="3">
        <f t="shared" ref="T14:T17" si="43">P14*52.5/100+P14</f>
        <v>7588.2097043999993</v>
      </c>
      <c r="U14" s="3">
        <v>8457</v>
      </c>
      <c r="V14" s="3">
        <v>9606</v>
      </c>
      <c r="W14" s="3">
        <f t="shared" ref="W14:W17" si="44">P14*148.1/100+P14</f>
        <v>12345.146410895999</v>
      </c>
      <c r="X14" s="10">
        <f t="shared" ref="X14:X17" si="45">P14*184.5/100+P14</f>
        <v>14156.36498952</v>
      </c>
      <c r="Y14" s="61">
        <f t="shared" ref="Y14:Y17" si="46">P14*197/100+P14</f>
        <v>14778.349391519998</v>
      </c>
      <c r="Z14" s="91">
        <v>17784</v>
      </c>
      <c r="AA14" s="8">
        <f t="shared" ref="AA14:AA17" si="47">Z14*8.8/100+Z14</f>
        <v>19348.991999999998</v>
      </c>
      <c r="AB14" s="3">
        <f t="shared" ref="AB14:AB17" si="48">Z14*13.37/100+Z14</f>
        <v>20161.720799999999</v>
      </c>
      <c r="AC14" s="3">
        <f t="shared" ref="AC14:AC17" si="49">Z14*28.51/100+Z14</f>
        <v>22854.218400000002</v>
      </c>
      <c r="AD14" s="3">
        <f t="shared" ref="AD14:AD17" si="50">Z14*32.51/100+Z14</f>
        <v>23565.578399999999</v>
      </c>
      <c r="AE14" s="10">
        <f t="shared" ref="AE14:AE17" si="51">Z14*36.6/100+AA14</f>
        <v>25857.935999999998</v>
      </c>
      <c r="AF14" s="3">
        <f t="shared" ref="AF14:AF17" si="52">Z14*40.6/100+Z14</f>
        <v>25004.304</v>
      </c>
      <c r="AG14" s="3">
        <f t="shared" ref="AG14:AG17" si="53">Z14*43.6/100+Z14</f>
        <v>25537.824000000001</v>
      </c>
      <c r="AH14" s="107">
        <v>27725</v>
      </c>
      <c r="AI14" s="64">
        <f t="shared" ref="AI14:AI21" si="54">AH14*3/100+AH14</f>
        <v>28556.75</v>
      </c>
      <c r="AJ14" s="63">
        <f t="shared" ref="AJ14:AJ21" si="55">AH14*6/100+AH14</f>
        <v>29388.5</v>
      </c>
      <c r="AK14" s="63">
        <f t="shared" ref="AK14:AK21" si="56">AH14*9/100+AH14</f>
        <v>30220.25</v>
      </c>
      <c r="AL14" s="63">
        <f t="shared" ref="AL14:AL21" si="57">AH14*12/100+AH14</f>
        <v>31052</v>
      </c>
      <c r="AM14" s="54"/>
    </row>
    <row r="15" spans="1:51" x14ac:dyDescent="0.25">
      <c r="A15" s="106" t="s">
        <v>9</v>
      </c>
      <c r="B15" s="106" t="s">
        <v>13</v>
      </c>
      <c r="C15" s="7">
        <v>4828</v>
      </c>
      <c r="D15" s="3">
        <f>(C15*15)/100+C15</f>
        <v>5552.2</v>
      </c>
      <c r="E15" s="3">
        <f>(C15*25)/100+C15</f>
        <v>6035</v>
      </c>
      <c r="F15" s="3">
        <f>(C15*35)/100+C15</f>
        <v>6517.8</v>
      </c>
      <c r="G15" s="27">
        <f>(C15*57.82)/100+C15</f>
        <v>7619.5496000000003</v>
      </c>
      <c r="H15" s="8">
        <f t="shared" si="33"/>
        <v>8381.5045600000012</v>
      </c>
      <c r="I15" s="3">
        <f t="shared" si="31"/>
        <v>9143.4595200000003</v>
      </c>
      <c r="J15" s="3">
        <f t="shared" si="32"/>
        <v>9905.4144799999995</v>
      </c>
      <c r="K15" s="10">
        <f t="shared" si="34"/>
        <v>11048.34692</v>
      </c>
      <c r="L15" s="10">
        <f t="shared" si="35"/>
        <v>12191.27936</v>
      </c>
      <c r="M15" s="10">
        <f t="shared" si="36"/>
        <v>12953.234320000001</v>
      </c>
      <c r="N15" s="10">
        <f t="shared" si="37"/>
        <v>13715.189280000001</v>
      </c>
      <c r="O15" s="30">
        <f t="shared" si="38"/>
        <v>1592.4858664000003</v>
      </c>
      <c r="P15" s="34">
        <f t="shared" si="39"/>
        <v>15909.619564799999</v>
      </c>
      <c r="Q15" s="42">
        <f t="shared" si="40"/>
        <v>17659.677716927999</v>
      </c>
      <c r="R15" s="10">
        <f t="shared" si="41"/>
        <v>19887.024455999999</v>
      </c>
      <c r="S15" s="3">
        <f t="shared" si="42"/>
        <v>22273.467390719998</v>
      </c>
      <c r="T15" s="3">
        <f t="shared" si="43"/>
        <v>24262.169836319998</v>
      </c>
      <c r="U15" s="3">
        <v>27043</v>
      </c>
      <c r="V15" s="3">
        <v>30718</v>
      </c>
      <c r="W15" s="3">
        <f t="shared" si="44"/>
        <v>39471.766140268795</v>
      </c>
      <c r="X15" s="10">
        <f t="shared" si="45"/>
        <v>45262.867661855998</v>
      </c>
      <c r="Y15" s="61">
        <f t="shared" si="46"/>
        <v>47251.570107455991</v>
      </c>
      <c r="Z15" s="91">
        <v>56868</v>
      </c>
      <c r="AA15" s="8">
        <f t="shared" si="47"/>
        <v>61872.383999999998</v>
      </c>
      <c r="AB15" s="3">
        <f t="shared" si="48"/>
        <v>64471.251600000003</v>
      </c>
      <c r="AC15" s="3">
        <f t="shared" si="49"/>
        <v>73081.066800000001</v>
      </c>
      <c r="AD15" s="3">
        <f t="shared" si="50"/>
        <v>75355.786800000002</v>
      </c>
      <c r="AE15" s="10">
        <f t="shared" si="51"/>
        <v>82686.072</v>
      </c>
      <c r="AF15" s="3">
        <f t="shared" si="52"/>
        <v>79956.407999999996</v>
      </c>
      <c r="AG15" s="3">
        <f t="shared" si="53"/>
        <v>81662.448000000004</v>
      </c>
      <c r="AH15" s="107">
        <v>88657</v>
      </c>
      <c r="AI15" s="64">
        <f t="shared" si="54"/>
        <v>91316.71</v>
      </c>
      <c r="AJ15" s="63">
        <f t="shared" si="55"/>
        <v>93976.42</v>
      </c>
      <c r="AK15" s="63">
        <f t="shared" si="56"/>
        <v>96636.13</v>
      </c>
      <c r="AL15" s="63">
        <f t="shared" si="57"/>
        <v>99295.84</v>
      </c>
      <c r="AM15" s="54"/>
    </row>
    <row r="16" spans="1:51" ht="30" x14ac:dyDescent="0.25">
      <c r="A16" s="41" t="s">
        <v>10</v>
      </c>
      <c r="B16" s="41" t="s">
        <v>14</v>
      </c>
      <c r="C16" s="20">
        <v>3543</v>
      </c>
      <c r="D16" s="21">
        <f>(C16*15)/100+C16</f>
        <v>4074.45</v>
      </c>
      <c r="E16" s="21">
        <f>(C16*25)/100+C16</f>
        <v>4428.75</v>
      </c>
      <c r="F16" s="21">
        <f>(C16*35)/100+C16</f>
        <v>4783.05</v>
      </c>
      <c r="G16" s="28">
        <f>(C16*57.82)/100+C16</f>
        <v>5591.5626000000002</v>
      </c>
      <c r="H16" s="22">
        <f t="shared" si="33"/>
        <v>6150.7188599999999</v>
      </c>
      <c r="I16" s="21">
        <f t="shared" si="31"/>
        <v>6709.8751200000006</v>
      </c>
      <c r="J16" s="21">
        <f t="shared" si="32"/>
        <v>7269.0313800000004</v>
      </c>
      <c r="K16" s="23">
        <f t="shared" si="34"/>
        <v>8107.76577</v>
      </c>
      <c r="L16" s="23">
        <f t="shared" si="35"/>
        <v>8946.5001599999996</v>
      </c>
      <c r="M16" s="23">
        <f t="shared" si="36"/>
        <v>9505.6564200000012</v>
      </c>
      <c r="N16" s="23">
        <f t="shared" si="37"/>
        <v>10064.812680000001</v>
      </c>
      <c r="O16" s="32">
        <f t="shared" si="38"/>
        <v>1168.6365833999998</v>
      </c>
      <c r="P16" s="34">
        <f t="shared" si="39"/>
        <v>11675.182708799999</v>
      </c>
      <c r="Q16" s="42">
        <f t="shared" si="40"/>
        <v>12959.452806767998</v>
      </c>
      <c r="R16" s="10">
        <f t="shared" si="41"/>
        <v>14593.978385999999</v>
      </c>
      <c r="S16" s="3">
        <f t="shared" si="42"/>
        <v>16345.255792319998</v>
      </c>
      <c r="T16" s="3">
        <f t="shared" si="43"/>
        <v>17804.653630919998</v>
      </c>
      <c r="U16" s="3">
        <v>19849</v>
      </c>
      <c r="V16" s="3">
        <v>22546</v>
      </c>
      <c r="W16" s="3">
        <f t="shared" si="44"/>
        <v>28966.128300532797</v>
      </c>
      <c r="X16" s="10">
        <f t="shared" si="45"/>
        <v>33215.894806535995</v>
      </c>
      <c r="Y16" s="61">
        <f t="shared" si="46"/>
        <v>34675.292645135996</v>
      </c>
      <c r="Z16" s="91">
        <v>41739</v>
      </c>
      <c r="AA16" s="8">
        <f t="shared" si="47"/>
        <v>45412.031999999999</v>
      </c>
      <c r="AB16" s="3">
        <f t="shared" si="48"/>
        <v>47319.504300000001</v>
      </c>
      <c r="AC16" s="3">
        <f t="shared" si="49"/>
        <v>53638.7889</v>
      </c>
      <c r="AD16" s="3">
        <f t="shared" si="50"/>
        <v>55308.348899999997</v>
      </c>
      <c r="AE16" s="10">
        <f t="shared" si="51"/>
        <v>60688.506000000001</v>
      </c>
      <c r="AF16" s="3">
        <f t="shared" si="52"/>
        <v>58685.034</v>
      </c>
      <c r="AG16" s="3">
        <f t="shared" si="53"/>
        <v>59937.203999999998</v>
      </c>
      <c r="AH16" s="107">
        <v>65072</v>
      </c>
      <c r="AI16" s="64">
        <f t="shared" si="54"/>
        <v>67024.160000000003</v>
      </c>
      <c r="AJ16" s="63">
        <v>75046</v>
      </c>
      <c r="AK16" s="63">
        <v>77170</v>
      </c>
      <c r="AL16" s="63">
        <v>79294</v>
      </c>
      <c r="AM16" s="54"/>
    </row>
    <row r="17" spans="1:39" ht="15.75" thickBot="1" x14ac:dyDescent="0.3">
      <c r="A17" s="119" t="s">
        <v>53</v>
      </c>
      <c r="B17" s="76"/>
      <c r="C17" s="114"/>
      <c r="D17" s="76"/>
      <c r="E17" s="76"/>
      <c r="F17" s="76"/>
      <c r="G17" s="28">
        <v>7262</v>
      </c>
      <c r="H17" s="22">
        <f>G17*10/100+G17</f>
        <v>7988.2</v>
      </c>
      <c r="I17" s="21">
        <f>G17*20/100+G17</f>
        <v>8714.4</v>
      </c>
      <c r="J17" s="21">
        <f>G17*30/100+G17</f>
        <v>9440.6</v>
      </c>
      <c r="K17" s="21">
        <f>G17*45/100+G17</f>
        <v>10529.9</v>
      </c>
      <c r="L17" s="21">
        <f>G17*60/100+G17</f>
        <v>11619.2</v>
      </c>
      <c r="M17" s="21">
        <v>11619</v>
      </c>
      <c r="N17" s="21">
        <v>11619</v>
      </c>
      <c r="O17" s="21">
        <v>11619</v>
      </c>
      <c r="P17" s="104">
        <f t="shared" si="39"/>
        <v>15163.056</v>
      </c>
      <c r="Q17" s="22">
        <v>15163.17</v>
      </c>
      <c r="R17" s="21">
        <v>18954</v>
      </c>
      <c r="S17" s="21">
        <f t="shared" si="42"/>
        <v>21228.278399999999</v>
      </c>
      <c r="T17" s="21">
        <f t="shared" si="43"/>
        <v>23123.660400000001</v>
      </c>
      <c r="U17" s="21">
        <f t="shared" ref="U17" si="58">P17*70/100+P17</f>
        <v>25777.195200000002</v>
      </c>
      <c r="V17" s="21">
        <f>P17*93.1/100+P17</f>
        <v>29279.861136</v>
      </c>
      <c r="W17" s="21">
        <f t="shared" si="44"/>
        <v>37619.541935999994</v>
      </c>
      <c r="X17" s="23">
        <f t="shared" si="45"/>
        <v>43138.894319999999</v>
      </c>
      <c r="Y17" s="73">
        <f t="shared" si="46"/>
        <v>45034.276320000004</v>
      </c>
      <c r="Z17" s="105">
        <f t="shared" ref="Z17" si="59">P17*257.48/100+P17</f>
        <v>54204.892588800009</v>
      </c>
      <c r="AA17" s="22">
        <f t="shared" si="47"/>
        <v>58974.923136614409</v>
      </c>
      <c r="AB17" s="21">
        <f t="shared" si="48"/>
        <v>61452.086727922571</v>
      </c>
      <c r="AC17" s="21">
        <f t="shared" si="49"/>
        <v>69658.707465866886</v>
      </c>
      <c r="AD17" s="21">
        <f t="shared" si="50"/>
        <v>71826.903169418889</v>
      </c>
      <c r="AE17" s="23">
        <f t="shared" si="51"/>
        <v>78813.91382411521</v>
      </c>
      <c r="AF17" s="21">
        <f t="shared" si="52"/>
        <v>76212.078979852813</v>
      </c>
      <c r="AG17" s="21">
        <f t="shared" si="53"/>
        <v>77838.225757516804</v>
      </c>
      <c r="AH17" s="108">
        <f t="shared" ref="AH17" si="60">Z17*46.6/100+Z17</f>
        <v>79464.37253518081</v>
      </c>
      <c r="AI17" s="64">
        <f t="shared" si="54"/>
        <v>81848.303711236236</v>
      </c>
      <c r="AJ17" s="63">
        <f t="shared" si="55"/>
        <v>84232.234887291663</v>
      </c>
      <c r="AK17" s="63">
        <f t="shared" si="56"/>
        <v>86616.166063347075</v>
      </c>
      <c r="AL17" s="63">
        <f t="shared" si="57"/>
        <v>89000.097239402501</v>
      </c>
      <c r="AM17" s="77"/>
    </row>
    <row r="18" spans="1:39" ht="15.75" thickBot="1" x14ac:dyDescent="0.3">
      <c r="A18" s="126" t="s">
        <v>101</v>
      </c>
      <c r="B18" s="127"/>
      <c r="C18" s="114"/>
      <c r="D18" s="76"/>
      <c r="E18" s="76"/>
      <c r="F18" s="76"/>
      <c r="G18" s="73"/>
      <c r="H18" s="20"/>
      <c r="I18" s="21"/>
      <c r="J18" s="21"/>
      <c r="K18" s="21"/>
      <c r="L18" s="21"/>
      <c r="M18" s="21"/>
      <c r="N18" s="21"/>
      <c r="O18" s="21"/>
      <c r="P18" s="104"/>
      <c r="Q18" s="20"/>
      <c r="R18" s="21"/>
      <c r="S18" s="21"/>
      <c r="T18" s="21"/>
      <c r="U18" s="21"/>
      <c r="V18" s="21"/>
      <c r="W18" s="21"/>
      <c r="X18" s="23"/>
      <c r="Y18" s="73"/>
      <c r="Z18" s="113"/>
      <c r="AA18" s="20"/>
      <c r="AB18" s="21"/>
      <c r="AC18" s="21"/>
      <c r="AD18" s="21"/>
      <c r="AE18" s="23"/>
      <c r="AF18" s="21"/>
      <c r="AG18" s="21"/>
      <c r="AH18" s="108"/>
      <c r="AI18" s="64"/>
      <c r="AJ18" s="63"/>
      <c r="AK18" s="63"/>
      <c r="AL18" s="63"/>
      <c r="AM18" s="77"/>
    </row>
    <row r="19" spans="1:39" x14ac:dyDescent="0.25">
      <c r="A19" s="115" t="s">
        <v>98</v>
      </c>
      <c r="B19" s="116"/>
      <c r="C19" s="117"/>
      <c r="D19" s="57"/>
      <c r="E19" s="57"/>
      <c r="F19" s="57"/>
      <c r="G19" s="3"/>
      <c r="H19" s="3"/>
      <c r="I19" s="3"/>
      <c r="J19" s="3"/>
      <c r="K19" s="3"/>
      <c r="L19" s="3"/>
      <c r="M19" s="3"/>
      <c r="N19" s="3"/>
      <c r="O19" s="3"/>
      <c r="P19" s="10"/>
      <c r="Q19" s="3"/>
      <c r="R19" s="3"/>
      <c r="S19" s="3"/>
      <c r="T19" s="3"/>
      <c r="U19" s="3"/>
      <c r="V19" s="3"/>
      <c r="W19" s="3"/>
      <c r="X19" s="10"/>
      <c r="Y19" s="3"/>
      <c r="Z19" s="88"/>
      <c r="AA19" s="3"/>
      <c r="AB19" s="3"/>
      <c r="AC19" s="3"/>
      <c r="AD19" s="3"/>
      <c r="AE19" s="10"/>
      <c r="AF19" s="3"/>
      <c r="AG19" s="3"/>
      <c r="AH19" s="107">
        <v>21310</v>
      </c>
      <c r="AI19" s="64">
        <f t="shared" si="54"/>
        <v>21949.3</v>
      </c>
      <c r="AJ19" s="63">
        <f t="shared" si="55"/>
        <v>22588.6</v>
      </c>
      <c r="AK19" s="63">
        <f t="shared" si="56"/>
        <v>23227.9</v>
      </c>
      <c r="AL19" s="63">
        <f t="shared" si="57"/>
        <v>23867.200000000001</v>
      </c>
      <c r="AM19" s="54"/>
    </row>
    <row r="20" spans="1:39" x14ac:dyDescent="0.25">
      <c r="A20" s="106" t="s">
        <v>99</v>
      </c>
      <c r="B20" s="57"/>
      <c r="C20" s="117"/>
      <c r="D20" s="57"/>
      <c r="E20" s="57"/>
      <c r="F20" s="57"/>
      <c r="G20" s="3"/>
      <c r="H20" s="3"/>
      <c r="I20" s="3"/>
      <c r="J20" s="3"/>
      <c r="K20" s="3"/>
      <c r="L20" s="3"/>
      <c r="M20" s="3"/>
      <c r="N20" s="3"/>
      <c r="O20" s="3"/>
      <c r="P20" s="10"/>
      <c r="Q20" s="3"/>
      <c r="R20" s="3"/>
      <c r="S20" s="3"/>
      <c r="T20" s="3"/>
      <c r="U20" s="3"/>
      <c r="V20" s="3"/>
      <c r="W20" s="3"/>
      <c r="X20" s="10"/>
      <c r="Y20" s="3"/>
      <c r="Z20" s="88"/>
      <c r="AA20" s="3"/>
      <c r="AB20" s="3"/>
      <c r="AC20" s="3"/>
      <c r="AD20" s="3"/>
      <c r="AE20" s="10"/>
      <c r="AF20" s="3"/>
      <c r="AG20" s="3"/>
      <c r="AH20" s="107">
        <v>22810</v>
      </c>
      <c r="AI20" s="64">
        <f t="shared" si="54"/>
        <v>23494.3</v>
      </c>
      <c r="AJ20" s="63">
        <f t="shared" si="55"/>
        <v>24178.6</v>
      </c>
      <c r="AK20" s="63">
        <f t="shared" si="56"/>
        <v>24862.9</v>
      </c>
      <c r="AL20" s="63">
        <f t="shared" si="57"/>
        <v>25547.200000000001</v>
      </c>
      <c r="AM20" s="54"/>
    </row>
    <row r="21" spans="1:39" ht="15.75" thickBot="1" x14ac:dyDescent="0.3">
      <c r="A21" s="106" t="s">
        <v>100</v>
      </c>
      <c r="B21" s="57"/>
      <c r="C21" s="117"/>
      <c r="D21" s="57"/>
      <c r="E21" s="57"/>
      <c r="F21" s="57"/>
      <c r="G21" s="3"/>
      <c r="H21" s="3"/>
      <c r="I21" s="3"/>
      <c r="J21" s="3"/>
      <c r="K21" s="3"/>
      <c r="L21" s="3"/>
      <c r="M21" s="3"/>
      <c r="N21" s="3"/>
      <c r="O21" s="3"/>
      <c r="P21" s="10"/>
      <c r="Q21" s="3"/>
      <c r="R21" s="3"/>
      <c r="S21" s="3"/>
      <c r="T21" s="3"/>
      <c r="U21" s="3"/>
      <c r="V21" s="3"/>
      <c r="W21" s="3"/>
      <c r="X21" s="10"/>
      <c r="Y21" s="3"/>
      <c r="Z21" s="88"/>
      <c r="AA21" s="3"/>
      <c r="AB21" s="3"/>
      <c r="AC21" s="3"/>
      <c r="AD21" s="3"/>
      <c r="AE21" s="10"/>
      <c r="AF21" s="3"/>
      <c r="AG21" s="3"/>
      <c r="AH21" s="107">
        <v>24810</v>
      </c>
      <c r="AI21" s="110">
        <f t="shared" si="54"/>
        <v>25554.3</v>
      </c>
      <c r="AJ21" s="111">
        <f t="shared" si="55"/>
        <v>26298.6</v>
      </c>
      <c r="AK21" s="111">
        <f t="shared" si="56"/>
        <v>27042.9</v>
      </c>
      <c r="AL21" s="111">
        <f t="shared" si="57"/>
        <v>27787.200000000001</v>
      </c>
      <c r="AM21" s="112"/>
    </row>
    <row r="22" spans="1:39" ht="15.75" thickBot="1" x14ac:dyDescent="0.3">
      <c r="G22" s="43"/>
      <c r="H22" s="43"/>
      <c r="I22" s="43"/>
      <c r="J22" s="43"/>
      <c r="K22" s="52"/>
      <c r="L22" s="43"/>
      <c r="M22" s="43"/>
      <c r="N22" s="43"/>
      <c r="O22" s="43"/>
      <c r="P22" s="43"/>
      <c r="Q22" s="43"/>
      <c r="R22" s="43"/>
    </row>
    <row r="23" spans="1:39" ht="35.1" customHeight="1" thickBot="1" x14ac:dyDescent="0.3">
      <c r="C23" s="53"/>
      <c r="D23" s="149" t="s">
        <v>28</v>
      </c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1"/>
    </row>
    <row r="24" spans="1:39" ht="20.100000000000001" customHeight="1" thickBot="1" x14ac:dyDescent="0.3">
      <c r="C24" s="2"/>
      <c r="D24" s="146" t="s">
        <v>29</v>
      </c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8"/>
    </row>
    <row r="25" spans="1:39" ht="15" customHeight="1" x14ac:dyDescent="0.25">
      <c r="D25" s="166" t="s">
        <v>30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8"/>
    </row>
    <row r="26" spans="1:39" ht="15" customHeight="1" thickBot="1" x14ac:dyDescent="0.3">
      <c r="D26" s="169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1"/>
    </row>
    <row r="27" spans="1:39" ht="15.75" customHeight="1" x14ac:dyDescent="0.25"/>
    <row r="28" spans="1:39" ht="15.75" customHeight="1" x14ac:dyDescent="0.25"/>
    <row r="32" spans="1:39" x14ac:dyDescent="0.25">
      <c r="J32" s="55"/>
    </row>
    <row r="33" spans="10:10" x14ac:dyDescent="0.25">
      <c r="J33" s="55"/>
    </row>
  </sheetData>
  <mergeCells count="36">
    <mergeCell ref="D25:R26"/>
    <mergeCell ref="Q11:Z11"/>
    <mergeCell ref="S5:S9"/>
    <mergeCell ref="N5:N9"/>
    <mergeCell ref="J5:J9"/>
    <mergeCell ref="I5:I9"/>
    <mergeCell ref="Z5:Z9"/>
    <mergeCell ref="X5:X9"/>
    <mergeCell ref="W5:W9"/>
    <mergeCell ref="U5:U9"/>
    <mergeCell ref="A1:E1"/>
    <mergeCell ref="C3:F3"/>
    <mergeCell ref="A11:G11"/>
    <mergeCell ref="D24:R24"/>
    <mergeCell ref="D23:R23"/>
    <mergeCell ref="C2:F2"/>
    <mergeCell ref="I4:J4"/>
    <mergeCell ref="P4:Q4"/>
    <mergeCell ref="H11:P11"/>
    <mergeCell ref="G2:S2"/>
    <mergeCell ref="G3:S3"/>
    <mergeCell ref="AU2:AY2"/>
    <mergeCell ref="AU3:AY3"/>
    <mergeCell ref="A18:B18"/>
    <mergeCell ref="T2:AL2"/>
    <mergeCell ref="T3:AL3"/>
    <mergeCell ref="AG4:AH4"/>
    <mergeCell ref="AM2:AT2"/>
    <mergeCell ref="AM3:AT3"/>
    <mergeCell ref="AI11:AM11"/>
    <mergeCell ref="AJ5:AJ9"/>
    <mergeCell ref="AH5:AH9"/>
    <mergeCell ref="AG5:AG9"/>
    <mergeCell ref="AA11:AH11"/>
    <mergeCell ref="AE5:AE9"/>
    <mergeCell ref="AC5:AC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</dc:creator>
  <cp:lastModifiedBy>Usuario</cp:lastModifiedBy>
  <cp:lastPrinted>2022-08-11T16:02:58Z</cp:lastPrinted>
  <dcterms:created xsi:type="dcterms:W3CDTF">2022-05-24T12:30:53Z</dcterms:created>
  <dcterms:modified xsi:type="dcterms:W3CDTF">2025-08-21T12:13:14Z</dcterms:modified>
</cp:coreProperties>
</file>